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3300" windowHeight="19060" firstSheet="1" activeTab="1"/>
  </bookViews>
  <sheets>
    <sheet name="Worksheet" sheetId="1" state="hidden" r:id="rId1"/>
    <sheet name="Request" sheetId="2" r:id="rId2"/>
    <sheet name="F&amp;A Details" sheetId="3" r:id="rId3"/>
  </sheets>
  <externalReferences>
    <externalReference r:id="rId4"/>
  </externalReferences>
  <definedNames>
    <definedName name="Base2">[1]S1!$A$32:$A$35</definedName>
    <definedName name="ESCM4">[1]S1!$B$47:$B$58</definedName>
    <definedName name="ESCRATE1">[1]S1!$A$47:$A$54</definedName>
    <definedName name="G">Worksheet!$A$74:$A$94</definedName>
    <definedName name="_xlnm.Print_Area" localSheetId="1">Request!$A$1:$S$165</definedName>
    <definedName name="RateType">[1]S1!$A$22:$A$28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5" i="1"/>
  <c r="B16" i="1"/>
  <c r="B17" i="1"/>
  <c r="B18" i="1"/>
  <c r="B2" i="1"/>
  <c r="B19" i="1"/>
  <c r="B20" i="1"/>
  <c r="C2" i="1"/>
  <c r="B3" i="1"/>
  <c r="C3" i="1"/>
  <c r="D2" i="1"/>
  <c r="D3" i="1"/>
  <c r="E2" i="1"/>
  <c r="E3" i="1"/>
  <c r="F2" i="1"/>
  <c r="F3" i="1"/>
  <c r="G2" i="1"/>
  <c r="G4" i="1"/>
  <c r="G3" i="1"/>
  <c r="G5" i="1"/>
  <c r="G8" i="1"/>
  <c r="G6" i="1"/>
  <c r="G9" i="1"/>
  <c r="G10" i="1"/>
  <c r="R8" i="2"/>
  <c r="C4" i="1"/>
  <c r="C5" i="1"/>
  <c r="C8" i="1"/>
  <c r="C6" i="1"/>
  <c r="C9" i="1"/>
  <c r="C10" i="1"/>
  <c r="J49" i="1"/>
  <c r="G7" i="1"/>
  <c r="K49" i="1"/>
  <c r="R36" i="2"/>
  <c r="R9" i="2"/>
  <c r="J52" i="1"/>
  <c r="K52" i="1"/>
  <c r="R37" i="2"/>
  <c r="R10" i="2"/>
  <c r="J53" i="1"/>
  <c r="K53" i="1"/>
  <c r="R38" i="2"/>
  <c r="R11" i="2"/>
  <c r="R39" i="2"/>
  <c r="R12" i="2"/>
  <c r="R40" i="2"/>
  <c r="R13" i="2"/>
  <c r="R41" i="2"/>
  <c r="R14" i="2"/>
  <c r="R42" i="2"/>
  <c r="R15" i="2"/>
  <c r="R43" i="2"/>
  <c r="R16" i="2"/>
  <c r="R44" i="2"/>
  <c r="R17" i="2"/>
  <c r="R45" i="2"/>
  <c r="R18" i="2"/>
  <c r="R46" i="2"/>
  <c r="R19" i="2"/>
  <c r="R47" i="2"/>
  <c r="R20" i="2"/>
  <c r="R48" i="2"/>
  <c r="R21" i="2"/>
  <c r="R49" i="2"/>
  <c r="R22" i="2"/>
  <c r="R50" i="2"/>
  <c r="R23" i="2"/>
  <c r="R51" i="2"/>
  <c r="R24" i="2"/>
  <c r="R52" i="2"/>
  <c r="R25" i="2"/>
  <c r="R53" i="2"/>
  <c r="R26" i="2"/>
  <c r="R54" i="2"/>
  <c r="R27" i="2"/>
  <c r="R55" i="2"/>
  <c r="R28" i="2"/>
  <c r="R56" i="2"/>
  <c r="R29" i="2"/>
  <c r="R57" i="2"/>
  <c r="R30" i="2"/>
  <c r="R58" i="2"/>
  <c r="R7" i="2"/>
  <c r="J50" i="1"/>
  <c r="K50" i="1"/>
  <c r="R35" i="2"/>
  <c r="F4" i="1"/>
  <c r="F5" i="1"/>
  <c r="F8" i="1"/>
  <c r="F6" i="1"/>
  <c r="F9" i="1"/>
  <c r="F10" i="1"/>
  <c r="Q8" i="2"/>
  <c r="H49" i="1"/>
  <c r="F7" i="1"/>
  <c r="I49" i="1"/>
  <c r="Q36" i="2"/>
  <c r="Q9" i="2"/>
  <c r="H52" i="1"/>
  <c r="I52" i="1"/>
  <c r="Q37" i="2"/>
  <c r="Q10" i="2"/>
  <c r="H53" i="1"/>
  <c r="I53" i="1"/>
  <c r="Q38" i="2"/>
  <c r="Q11" i="2"/>
  <c r="Q39" i="2"/>
  <c r="Q12" i="2"/>
  <c r="Q40" i="2"/>
  <c r="Q13" i="2"/>
  <c r="Q41" i="2"/>
  <c r="Q14" i="2"/>
  <c r="Q42" i="2"/>
  <c r="Q15" i="2"/>
  <c r="Q43" i="2"/>
  <c r="Q16" i="2"/>
  <c r="Q44" i="2"/>
  <c r="Q17" i="2"/>
  <c r="Q45" i="2"/>
  <c r="Q18" i="2"/>
  <c r="Q46" i="2"/>
  <c r="Q19" i="2"/>
  <c r="Q47" i="2"/>
  <c r="Q20" i="2"/>
  <c r="Q48" i="2"/>
  <c r="Q21" i="2"/>
  <c r="Q49" i="2"/>
  <c r="Q22" i="2"/>
  <c r="Q50" i="2"/>
  <c r="Q23" i="2"/>
  <c r="Q51" i="2"/>
  <c r="Q24" i="2"/>
  <c r="Q52" i="2"/>
  <c r="Q25" i="2"/>
  <c r="Q53" i="2"/>
  <c r="Q26" i="2"/>
  <c r="Q54" i="2"/>
  <c r="Q27" i="2"/>
  <c r="Q55" i="2"/>
  <c r="Q28" i="2"/>
  <c r="Q56" i="2"/>
  <c r="Q29" i="2"/>
  <c r="Q57" i="2"/>
  <c r="Q30" i="2"/>
  <c r="Q58" i="2"/>
  <c r="Q7" i="2"/>
  <c r="H50" i="1"/>
  <c r="I50" i="1"/>
  <c r="Q35" i="2"/>
  <c r="E4" i="1"/>
  <c r="E5" i="1"/>
  <c r="E8" i="1"/>
  <c r="E6" i="1"/>
  <c r="E9" i="1"/>
  <c r="E10" i="1"/>
  <c r="P8" i="2"/>
  <c r="E37" i="1"/>
  <c r="F49" i="1"/>
  <c r="E7" i="1"/>
  <c r="F37" i="1"/>
  <c r="G49" i="1"/>
  <c r="L213" i="1"/>
  <c r="G172" i="1"/>
  <c r="D172" i="1"/>
  <c r="J172" i="1"/>
  <c r="G200" i="1"/>
  <c r="G204" i="1"/>
  <c r="F213" i="1"/>
  <c r="F243" i="1"/>
  <c r="G213" i="1"/>
  <c r="G243" i="1"/>
  <c r="E40" i="1"/>
  <c r="F52" i="1"/>
  <c r="F56" i="1"/>
  <c r="F241" i="1"/>
  <c r="F40" i="1"/>
  <c r="G52" i="1"/>
  <c r="G56" i="1"/>
  <c r="G241" i="1"/>
  <c r="F296" i="1"/>
  <c r="P36" i="2"/>
  <c r="P9" i="2"/>
  <c r="P37" i="2"/>
  <c r="P10" i="2"/>
  <c r="E41" i="1"/>
  <c r="F53" i="1"/>
  <c r="F41" i="1"/>
  <c r="G53" i="1"/>
  <c r="P38" i="2"/>
  <c r="P11" i="2"/>
  <c r="P39" i="2"/>
  <c r="P12" i="2"/>
  <c r="P40" i="2"/>
  <c r="P13" i="2"/>
  <c r="P41" i="2"/>
  <c r="P14" i="2"/>
  <c r="P42" i="2"/>
  <c r="P15" i="2"/>
  <c r="P43" i="2"/>
  <c r="P16" i="2"/>
  <c r="P44" i="2"/>
  <c r="P17" i="2"/>
  <c r="P45" i="2"/>
  <c r="P18" i="2"/>
  <c r="P46" i="2"/>
  <c r="P19" i="2"/>
  <c r="P47" i="2"/>
  <c r="P20" i="2"/>
  <c r="P48" i="2"/>
  <c r="P21" i="2"/>
  <c r="P49" i="2"/>
  <c r="P22" i="2"/>
  <c r="P50" i="2"/>
  <c r="P23" i="2"/>
  <c r="P51" i="2"/>
  <c r="P24" i="2"/>
  <c r="P52" i="2"/>
  <c r="P25" i="2"/>
  <c r="P53" i="2"/>
  <c r="P26" i="2"/>
  <c r="P54" i="2"/>
  <c r="P27" i="2"/>
  <c r="P55" i="2"/>
  <c r="P28" i="2"/>
  <c r="P56" i="2"/>
  <c r="P29" i="2"/>
  <c r="P57" i="2"/>
  <c r="P30" i="2"/>
  <c r="P58" i="2"/>
  <c r="P7" i="2"/>
  <c r="E38" i="1"/>
  <c r="F50" i="1"/>
  <c r="F38" i="1"/>
  <c r="G50" i="1"/>
  <c r="L212" i="1"/>
  <c r="G171" i="1"/>
  <c r="D171" i="1"/>
  <c r="J171" i="1"/>
  <c r="F212" i="1"/>
  <c r="F242" i="1"/>
  <c r="G212" i="1"/>
  <c r="G242" i="1"/>
  <c r="F295" i="1"/>
  <c r="P35" i="2"/>
  <c r="D4" i="1"/>
  <c r="D5" i="1"/>
  <c r="D8" i="1"/>
  <c r="D6" i="1"/>
  <c r="D9" i="1"/>
  <c r="D10" i="1"/>
  <c r="O8" i="2"/>
  <c r="D49" i="1"/>
  <c r="D7" i="1"/>
  <c r="E49" i="1"/>
  <c r="C172" i="1"/>
  <c r="I172" i="1"/>
  <c r="F200" i="1"/>
  <c r="F204" i="1"/>
  <c r="D213" i="1"/>
  <c r="D243" i="1"/>
  <c r="E213" i="1"/>
  <c r="E243" i="1"/>
  <c r="D52" i="1"/>
  <c r="D56" i="1"/>
  <c r="D241" i="1"/>
  <c r="E52" i="1"/>
  <c r="E56" i="1"/>
  <c r="E241" i="1"/>
  <c r="D296" i="1"/>
  <c r="O36" i="2"/>
  <c r="O9" i="2"/>
  <c r="O37" i="2"/>
  <c r="O10" i="2"/>
  <c r="D53" i="1"/>
  <c r="E53" i="1"/>
  <c r="O38" i="2"/>
  <c r="O11" i="2"/>
  <c r="O39" i="2"/>
  <c r="O12" i="2"/>
  <c r="O40" i="2"/>
  <c r="O13" i="2"/>
  <c r="O41" i="2"/>
  <c r="O14" i="2"/>
  <c r="O42" i="2"/>
  <c r="O15" i="2"/>
  <c r="O43" i="2"/>
  <c r="O16" i="2"/>
  <c r="O44" i="2"/>
  <c r="O17" i="2"/>
  <c r="O45" i="2"/>
  <c r="O18" i="2"/>
  <c r="O46" i="2"/>
  <c r="O19" i="2"/>
  <c r="O47" i="2"/>
  <c r="O20" i="2"/>
  <c r="O48" i="2"/>
  <c r="O21" i="2"/>
  <c r="O49" i="2"/>
  <c r="O22" i="2"/>
  <c r="O50" i="2"/>
  <c r="O23" i="2"/>
  <c r="O51" i="2"/>
  <c r="O24" i="2"/>
  <c r="O52" i="2"/>
  <c r="O25" i="2"/>
  <c r="O53" i="2"/>
  <c r="O26" i="2"/>
  <c r="O54" i="2"/>
  <c r="O27" i="2"/>
  <c r="O55" i="2"/>
  <c r="O28" i="2"/>
  <c r="O56" i="2"/>
  <c r="O29" i="2"/>
  <c r="O57" i="2"/>
  <c r="O30" i="2"/>
  <c r="O58" i="2"/>
  <c r="O7" i="2"/>
  <c r="D50" i="1"/>
  <c r="E50" i="1"/>
  <c r="C171" i="1"/>
  <c r="I171" i="1"/>
  <c r="D212" i="1"/>
  <c r="D242" i="1"/>
  <c r="E212" i="1"/>
  <c r="E242" i="1"/>
  <c r="D295" i="1"/>
  <c r="O35" i="2"/>
  <c r="N7" i="2"/>
  <c r="B50" i="1"/>
  <c r="C7" i="1"/>
  <c r="C50" i="1"/>
  <c r="B171" i="1"/>
  <c r="H171" i="1"/>
  <c r="E200" i="1"/>
  <c r="E204" i="1"/>
  <c r="B212" i="1"/>
  <c r="B242" i="1"/>
  <c r="B52" i="1"/>
  <c r="B56" i="1"/>
  <c r="B241" i="1"/>
  <c r="C212" i="1"/>
  <c r="C242" i="1"/>
  <c r="C52" i="1"/>
  <c r="C56" i="1"/>
  <c r="C241" i="1"/>
  <c r="B295" i="1"/>
  <c r="N35" i="2"/>
  <c r="B42" i="2"/>
  <c r="B41" i="2"/>
  <c r="B40" i="2"/>
  <c r="B39" i="2"/>
  <c r="B38" i="2"/>
  <c r="B37" i="2"/>
  <c r="B36" i="2"/>
  <c r="B35" i="2"/>
  <c r="E35" i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L214" i="1"/>
  <c r="L215" i="1"/>
  <c r="L216" i="1"/>
  <c r="L217" i="1"/>
  <c r="L218" i="1"/>
  <c r="L219" i="1"/>
  <c r="L220" i="1"/>
  <c r="J220" i="1"/>
  <c r="J250" i="1"/>
  <c r="L221" i="1"/>
  <c r="H221" i="1"/>
  <c r="H251" i="1"/>
  <c r="L222" i="1"/>
  <c r="H222" i="1"/>
  <c r="H252" i="1"/>
  <c r="L223" i="1"/>
  <c r="J223" i="1"/>
  <c r="J253" i="1"/>
  <c r="L224" i="1"/>
  <c r="F224" i="1"/>
  <c r="F254" i="1"/>
  <c r="L225" i="1"/>
  <c r="B225" i="1"/>
  <c r="B255" i="1"/>
  <c r="L226" i="1"/>
  <c r="F226" i="1"/>
  <c r="F256" i="1"/>
  <c r="L227" i="1"/>
  <c r="F227" i="1"/>
  <c r="F257" i="1"/>
  <c r="L228" i="1"/>
  <c r="F228" i="1"/>
  <c r="F258" i="1"/>
  <c r="L229" i="1"/>
  <c r="D229" i="1"/>
  <c r="D259" i="1"/>
  <c r="L230" i="1"/>
  <c r="J230" i="1"/>
  <c r="J260" i="1"/>
  <c r="L231" i="1"/>
  <c r="H231" i="1"/>
  <c r="H261" i="1"/>
  <c r="L232" i="1"/>
  <c r="H232" i="1"/>
  <c r="H262" i="1"/>
  <c r="L233" i="1"/>
  <c r="H233" i="1"/>
  <c r="H263" i="1"/>
  <c r="L234" i="1"/>
  <c r="J234" i="1"/>
  <c r="J264" i="1"/>
  <c r="L235" i="1"/>
  <c r="J235" i="1"/>
  <c r="J265" i="1"/>
  <c r="B23" i="1"/>
  <c r="J227" i="1"/>
  <c r="J257" i="1"/>
  <c r="B233" i="1"/>
  <c r="B263" i="1"/>
  <c r="D233" i="1"/>
  <c r="D263" i="1"/>
  <c r="J228" i="1"/>
  <c r="J258" i="1"/>
  <c r="B227" i="1"/>
  <c r="B257" i="1"/>
  <c r="F221" i="1"/>
  <c r="F251" i="1"/>
  <c r="H229" i="1"/>
  <c r="H259" i="1"/>
  <c r="J229" i="1"/>
  <c r="J259" i="1"/>
  <c r="B221" i="1"/>
  <c r="B251" i="1"/>
  <c r="J221" i="1"/>
  <c r="J251" i="1"/>
  <c r="J233" i="1"/>
  <c r="J263" i="1"/>
  <c r="D235" i="1"/>
  <c r="D265" i="1"/>
  <c r="B235" i="1"/>
  <c r="B265" i="1"/>
  <c r="F233" i="1"/>
  <c r="F263" i="1"/>
  <c r="B231" i="1"/>
  <c r="B261" i="1"/>
  <c r="F230" i="1"/>
  <c r="F260" i="1"/>
  <c r="B230" i="1"/>
  <c r="B260" i="1"/>
  <c r="H230" i="1"/>
  <c r="H260" i="1"/>
  <c r="B229" i="1"/>
  <c r="B259" i="1"/>
  <c r="F229" i="1"/>
  <c r="F259" i="1"/>
  <c r="H228" i="1"/>
  <c r="H258" i="1"/>
  <c r="B228" i="1"/>
  <c r="B258" i="1"/>
  <c r="H227" i="1"/>
  <c r="H257" i="1"/>
  <c r="B222" i="1"/>
  <c r="B252" i="1"/>
  <c r="F222" i="1"/>
  <c r="F252" i="1"/>
  <c r="J222" i="1"/>
  <c r="J252" i="1"/>
  <c r="B220" i="1"/>
  <c r="B250" i="1"/>
  <c r="H220" i="1"/>
  <c r="H250" i="1"/>
  <c r="F235" i="1"/>
  <c r="F265" i="1"/>
  <c r="H235" i="1"/>
  <c r="H265" i="1"/>
  <c r="F234" i="1"/>
  <c r="F264" i="1"/>
  <c r="B234" i="1"/>
  <c r="B264" i="1"/>
  <c r="D234" i="1"/>
  <c r="D264" i="1"/>
  <c r="H234" i="1"/>
  <c r="H264" i="1"/>
  <c r="D232" i="1"/>
  <c r="D262" i="1"/>
  <c r="F232" i="1"/>
  <c r="F262" i="1"/>
  <c r="J232" i="1"/>
  <c r="J262" i="1"/>
  <c r="B232" i="1"/>
  <c r="B262" i="1"/>
  <c r="D231" i="1"/>
  <c r="D261" i="1"/>
  <c r="J231" i="1"/>
  <c r="J261" i="1"/>
  <c r="F231" i="1"/>
  <c r="F261" i="1"/>
  <c r="D230" i="1"/>
  <c r="D260" i="1"/>
  <c r="D228" i="1"/>
  <c r="D258" i="1"/>
  <c r="D227" i="1"/>
  <c r="D257" i="1"/>
  <c r="D226" i="1"/>
  <c r="D256" i="1"/>
  <c r="H226" i="1"/>
  <c r="H256" i="1"/>
  <c r="J226" i="1"/>
  <c r="J256" i="1"/>
  <c r="B226" i="1"/>
  <c r="B256" i="1"/>
  <c r="F225" i="1"/>
  <c r="F255" i="1"/>
  <c r="H225" i="1"/>
  <c r="H255" i="1"/>
  <c r="J225" i="1"/>
  <c r="J255" i="1"/>
  <c r="D225" i="1"/>
  <c r="D255" i="1"/>
  <c r="H224" i="1"/>
  <c r="H254" i="1"/>
  <c r="J224" i="1"/>
  <c r="J254" i="1"/>
  <c r="B224" i="1"/>
  <c r="B254" i="1"/>
  <c r="D224" i="1"/>
  <c r="D254" i="1"/>
  <c r="D223" i="1"/>
  <c r="D253" i="1"/>
  <c r="F223" i="1"/>
  <c r="F253" i="1"/>
  <c r="B223" i="1"/>
  <c r="B253" i="1"/>
  <c r="H223" i="1"/>
  <c r="H253" i="1"/>
  <c r="D222" i="1"/>
  <c r="D252" i="1"/>
  <c r="D221" i="1"/>
  <c r="D251" i="1"/>
  <c r="D220" i="1"/>
  <c r="D250" i="1"/>
  <c r="F220" i="1"/>
  <c r="F250" i="1"/>
  <c r="N72" i="2"/>
  <c r="S62" i="2"/>
  <c r="S74" i="2"/>
  <c r="S86" i="2"/>
  <c r="S98" i="2"/>
  <c r="S116" i="2"/>
  <c r="O34" i="2"/>
  <c r="P34" i="2"/>
  <c r="Q34" i="2"/>
  <c r="R34" i="2"/>
  <c r="N34" i="2"/>
  <c r="L20" i="3"/>
  <c r="L17" i="3"/>
  <c r="J21" i="3"/>
  <c r="J18" i="3"/>
  <c r="H21" i="3"/>
  <c r="H18" i="3"/>
  <c r="L13" i="3"/>
  <c r="J15" i="3"/>
  <c r="H15" i="3"/>
  <c r="L9" i="3"/>
  <c r="J11" i="3"/>
  <c r="H11" i="3"/>
  <c r="J7" i="3"/>
  <c r="H7" i="3"/>
  <c r="L5" i="3"/>
  <c r="K11" i="3"/>
  <c r="K15" i="3"/>
  <c r="K7" i="3"/>
  <c r="C5" i="3"/>
  <c r="D7" i="3"/>
  <c r="G134" i="2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A172" i="1"/>
  <c r="A213" i="1"/>
  <c r="A243" i="1"/>
  <c r="A270" i="1"/>
  <c r="A296" i="1"/>
  <c r="A173" i="1"/>
  <c r="A214" i="1"/>
  <c r="A244" i="1"/>
  <c r="A271" i="1"/>
  <c r="A297" i="1"/>
  <c r="A174" i="1"/>
  <c r="A215" i="1"/>
  <c r="A245" i="1"/>
  <c r="A272" i="1"/>
  <c r="A298" i="1"/>
  <c r="A175" i="1"/>
  <c r="A216" i="1"/>
  <c r="A246" i="1"/>
  <c r="A273" i="1"/>
  <c r="A299" i="1"/>
  <c r="A176" i="1"/>
  <c r="A217" i="1"/>
  <c r="A247" i="1"/>
  <c r="A274" i="1"/>
  <c r="A300" i="1"/>
  <c r="A177" i="1"/>
  <c r="A218" i="1"/>
  <c r="A248" i="1"/>
  <c r="A275" i="1"/>
  <c r="A301" i="1"/>
  <c r="A178" i="1"/>
  <c r="A219" i="1"/>
  <c r="A249" i="1"/>
  <c r="A276" i="1"/>
  <c r="A302" i="1"/>
  <c r="A179" i="1"/>
  <c r="A220" i="1"/>
  <c r="A250" i="1"/>
  <c r="A277" i="1"/>
  <c r="A303" i="1"/>
  <c r="A180" i="1"/>
  <c r="A221" i="1"/>
  <c r="A251" i="1"/>
  <c r="A278" i="1"/>
  <c r="A304" i="1"/>
  <c r="A181" i="1"/>
  <c r="A222" i="1"/>
  <c r="A252" i="1"/>
  <c r="A279" i="1"/>
  <c r="A305" i="1"/>
  <c r="A182" i="1"/>
  <c r="A223" i="1"/>
  <c r="A253" i="1"/>
  <c r="A280" i="1"/>
  <c r="A306" i="1"/>
  <c r="A183" i="1"/>
  <c r="A224" i="1"/>
  <c r="A254" i="1"/>
  <c r="A281" i="1"/>
  <c r="A307" i="1"/>
  <c r="A184" i="1"/>
  <c r="A225" i="1"/>
  <c r="A255" i="1"/>
  <c r="A282" i="1"/>
  <c r="A308" i="1"/>
  <c r="A185" i="1"/>
  <c r="A226" i="1"/>
  <c r="A256" i="1"/>
  <c r="A283" i="1"/>
  <c r="A309" i="1"/>
  <c r="A186" i="1"/>
  <c r="A227" i="1"/>
  <c r="A257" i="1"/>
  <c r="A284" i="1"/>
  <c r="A310" i="1"/>
  <c r="A187" i="1"/>
  <c r="A228" i="1"/>
  <c r="A258" i="1"/>
  <c r="A285" i="1"/>
  <c r="A311" i="1"/>
  <c r="A188" i="1"/>
  <c r="A229" i="1"/>
  <c r="A259" i="1"/>
  <c r="A286" i="1"/>
  <c r="A312" i="1"/>
  <c r="A189" i="1"/>
  <c r="A230" i="1"/>
  <c r="A260" i="1"/>
  <c r="A287" i="1"/>
  <c r="A313" i="1"/>
  <c r="A190" i="1"/>
  <c r="A231" i="1"/>
  <c r="A261" i="1"/>
  <c r="A288" i="1"/>
  <c r="A314" i="1"/>
  <c r="A191" i="1"/>
  <c r="A232" i="1"/>
  <c r="A262" i="1"/>
  <c r="A289" i="1"/>
  <c r="A315" i="1"/>
  <c r="A192" i="1"/>
  <c r="A233" i="1"/>
  <c r="A263" i="1"/>
  <c r="A290" i="1"/>
  <c r="A316" i="1"/>
  <c r="A193" i="1"/>
  <c r="A234" i="1"/>
  <c r="A264" i="1"/>
  <c r="A291" i="1"/>
  <c r="A317" i="1"/>
  <c r="A194" i="1"/>
  <c r="A235" i="1"/>
  <c r="A265" i="1"/>
  <c r="A292" i="1"/>
  <c r="A318" i="1"/>
  <c r="A171" i="1"/>
  <c r="A212" i="1"/>
  <c r="A242" i="1"/>
  <c r="A269" i="1"/>
  <c r="A295" i="1"/>
  <c r="C163" i="1"/>
  <c r="C164" i="1"/>
  <c r="C162" i="1"/>
  <c r="B163" i="1"/>
  <c r="B164" i="1"/>
  <c r="B162" i="1"/>
  <c r="C161" i="1"/>
  <c r="B161" i="1"/>
  <c r="A163" i="1"/>
  <c r="A164" i="1"/>
  <c r="A162" i="1"/>
  <c r="D162" i="1"/>
  <c r="D164" i="1"/>
  <c r="D163" i="1"/>
  <c r="S158" i="2"/>
  <c r="S157" i="2"/>
  <c r="S156" i="2"/>
  <c r="S155" i="2"/>
  <c r="S154" i="2"/>
  <c r="S153" i="2"/>
  <c r="S152" i="2"/>
  <c r="S151" i="2"/>
  <c r="S149" i="2"/>
  <c r="S148" i="2"/>
  <c r="S147" i="2"/>
  <c r="S146" i="2"/>
  <c r="S145" i="2"/>
  <c r="S144" i="2"/>
  <c r="S143" i="2"/>
  <c r="S142" i="2"/>
  <c r="S140" i="2"/>
  <c r="S139" i="2"/>
  <c r="S138" i="2"/>
  <c r="S137" i="2"/>
  <c r="S136" i="2"/>
  <c r="I91" i="1"/>
  <c r="J91" i="1"/>
  <c r="K91" i="1"/>
  <c r="B140" i="1"/>
  <c r="B141" i="1"/>
  <c r="B142" i="1"/>
  <c r="B143" i="1"/>
  <c r="B144" i="1"/>
  <c r="B145" i="1"/>
  <c r="B146" i="1"/>
  <c r="B147" i="1"/>
  <c r="B148" i="1"/>
  <c r="B149" i="1"/>
  <c r="D149" i="1"/>
  <c r="B150" i="1"/>
  <c r="B151" i="1"/>
  <c r="D151" i="1"/>
  <c r="B152" i="1"/>
  <c r="B153" i="1"/>
  <c r="D153" i="1"/>
  <c r="B139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G151" i="1"/>
  <c r="C153" i="1"/>
  <c r="E151" i="1"/>
  <c r="C151" i="1"/>
  <c r="G153" i="1"/>
  <c r="G149" i="1"/>
  <c r="C149" i="1"/>
  <c r="E153" i="1"/>
  <c r="E149" i="1"/>
  <c r="F153" i="1"/>
  <c r="F151" i="1"/>
  <c r="F149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21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D104" i="1"/>
  <c r="D139" i="1"/>
  <c r="E104" i="1"/>
  <c r="E139" i="1"/>
  <c r="F104" i="1"/>
  <c r="F139" i="1"/>
  <c r="G104" i="1"/>
  <c r="G139" i="1"/>
  <c r="D105" i="1"/>
  <c r="D140" i="1"/>
  <c r="E105" i="1"/>
  <c r="E140" i="1"/>
  <c r="F105" i="1"/>
  <c r="F140" i="1"/>
  <c r="G105" i="1"/>
  <c r="G140" i="1"/>
  <c r="D106" i="1"/>
  <c r="D141" i="1"/>
  <c r="E106" i="1"/>
  <c r="E141" i="1"/>
  <c r="F106" i="1"/>
  <c r="F141" i="1"/>
  <c r="G106" i="1"/>
  <c r="G141" i="1"/>
  <c r="D107" i="1"/>
  <c r="D142" i="1"/>
  <c r="E107" i="1"/>
  <c r="E142" i="1"/>
  <c r="F107" i="1"/>
  <c r="F142" i="1"/>
  <c r="G107" i="1"/>
  <c r="G142" i="1"/>
  <c r="D108" i="1"/>
  <c r="D143" i="1"/>
  <c r="E108" i="1"/>
  <c r="E143" i="1"/>
  <c r="F108" i="1"/>
  <c r="F143" i="1"/>
  <c r="G108" i="1"/>
  <c r="G143" i="1"/>
  <c r="D109" i="1"/>
  <c r="E109" i="1"/>
  <c r="E144" i="1"/>
  <c r="F109" i="1"/>
  <c r="F144" i="1"/>
  <c r="G109" i="1"/>
  <c r="G144" i="1"/>
  <c r="D110" i="1"/>
  <c r="D145" i="1"/>
  <c r="E110" i="1"/>
  <c r="E145" i="1"/>
  <c r="F110" i="1"/>
  <c r="F145" i="1"/>
  <c r="G110" i="1"/>
  <c r="G145" i="1"/>
  <c r="D111" i="1"/>
  <c r="D146" i="1"/>
  <c r="E111" i="1"/>
  <c r="E146" i="1"/>
  <c r="F111" i="1"/>
  <c r="F146" i="1"/>
  <c r="G111" i="1"/>
  <c r="G146" i="1"/>
  <c r="D112" i="1"/>
  <c r="D147" i="1"/>
  <c r="E112" i="1"/>
  <c r="E147" i="1"/>
  <c r="F112" i="1"/>
  <c r="F147" i="1"/>
  <c r="G112" i="1"/>
  <c r="G147" i="1"/>
  <c r="D113" i="1"/>
  <c r="D148" i="1"/>
  <c r="E113" i="1"/>
  <c r="F113" i="1"/>
  <c r="F148" i="1"/>
  <c r="G113" i="1"/>
  <c r="G148" i="1"/>
  <c r="D114" i="1"/>
  <c r="E114" i="1"/>
  <c r="F114" i="1"/>
  <c r="G114" i="1"/>
  <c r="D115" i="1"/>
  <c r="D150" i="1"/>
  <c r="E115" i="1"/>
  <c r="E150" i="1"/>
  <c r="F115" i="1"/>
  <c r="F150" i="1"/>
  <c r="G115" i="1"/>
  <c r="G150" i="1"/>
  <c r="D116" i="1"/>
  <c r="E116" i="1"/>
  <c r="F116" i="1"/>
  <c r="G116" i="1"/>
  <c r="D117" i="1"/>
  <c r="E117" i="1"/>
  <c r="E152" i="1"/>
  <c r="F117" i="1"/>
  <c r="F152" i="1"/>
  <c r="G117" i="1"/>
  <c r="G152" i="1"/>
  <c r="D118" i="1"/>
  <c r="E118" i="1"/>
  <c r="F118" i="1"/>
  <c r="G118" i="1"/>
  <c r="C105" i="1"/>
  <c r="C140" i="1"/>
  <c r="C106" i="1"/>
  <c r="C107" i="1"/>
  <c r="C142" i="1"/>
  <c r="C108" i="1"/>
  <c r="C143" i="1"/>
  <c r="C109" i="1"/>
  <c r="C144" i="1"/>
  <c r="C110" i="1"/>
  <c r="C145" i="1"/>
  <c r="C111" i="1"/>
  <c r="C146" i="1"/>
  <c r="C112" i="1"/>
  <c r="C147" i="1"/>
  <c r="C113" i="1"/>
  <c r="C148" i="1"/>
  <c r="C114" i="1"/>
  <c r="C115" i="1"/>
  <c r="C150" i="1"/>
  <c r="C116" i="1"/>
  <c r="C117" i="1"/>
  <c r="C152" i="1"/>
  <c r="C118" i="1"/>
  <c r="C104" i="1"/>
  <c r="C139" i="1"/>
  <c r="B105" i="1"/>
  <c r="B106" i="1"/>
  <c r="B107" i="1"/>
  <c r="B108" i="1"/>
  <c r="B109" i="1"/>
  <c r="B110" i="1"/>
  <c r="B111" i="1"/>
  <c r="B112" i="1"/>
  <c r="B113" i="1"/>
  <c r="B114" i="1"/>
  <c r="C131" i="1"/>
  <c r="B115" i="1"/>
  <c r="B116" i="1"/>
  <c r="C133" i="1"/>
  <c r="B117" i="1"/>
  <c r="B118" i="1"/>
  <c r="C135" i="1"/>
  <c r="B104" i="1"/>
  <c r="A117" i="1"/>
  <c r="A118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04" i="1"/>
  <c r="C127" i="1"/>
  <c r="C125" i="1"/>
  <c r="C123" i="1"/>
  <c r="H147" i="1"/>
  <c r="H151" i="1"/>
  <c r="H145" i="1"/>
  <c r="H139" i="1"/>
  <c r="H143" i="1"/>
  <c r="H153" i="1"/>
  <c r="C129" i="1"/>
  <c r="H149" i="1"/>
  <c r="H140" i="1"/>
  <c r="H150" i="1"/>
  <c r="H146" i="1"/>
  <c r="H142" i="1"/>
  <c r="E135" i="1"/>
  <c r="F135" i="1"/>
  <c r="D135" i="1"/>
  <c r="G135" i="1"/>
  <c r="E131" i="1"/>
  <c r="D131" i="1"/>
  <c r="G131" i="1"/>
  <c r="F131" i="1"/>
  <c r="E123" i="1"/>
  <c r="D123" i="1"/>
  <c r="G123" i="1"/>
  <c r="F123" i="1"/>
  <c r="H118" i="1"/>
  <c r="H117" i="1"/>
  <c r="H110" i="1"/>
  <c r="H109" i="1"/>
  <c r="H105" i="1"/>
  <c r="D133" i="1"/>
  <c r="E133" i="1"/>
  <c r="F133" i="1"/>
  <c r="G133" i="1"/>
  <c r="D129" i="1"/>
  <c r="E129" i="1"/>
  <c r="F129" i="1"/>
  <c r="G129" i="1"/>
  <c r="D125" i="1"/>
  <c r="G125" i="1"/>
  <c r="E125" i="1"/>
  <c r="F125" i="1"/>
  <c r="C134" i="1"/>
  <c r="C130" i="1"/>
  <c r="C126" i="1"/>
  <c r="C122" i="1"/>
  <c r="G121" i="1"/>
  <c r="F121" i="1"/>
  <c r="E121" i="1"/>
  <c r="D121" i="1"/>
  <c r="G132" i="1"/>
  <c r="E132" i="1"/>
  <c r="F132" i="1"/>
  <c r="D132" i="1"/>
  <c r="G128" i="1"/>
  <c r="F128" i="1"/>
  <c r="D128" i="1"/>
  <c r="E128" i="1"/>
  <c r="G124" i="1"/>
  <c r="F124" i="1"/>
  <c r="D124" i="1"/>
  <c r="E124" i="1"/>
  <c r="D152" i="1"/>
  <c r="H152" i="1"/>
  <c r="E127" i="1"/>
  <c r="D127" i="1"/>
  <c r="G127" i="1"/>
  <c r="F127" i="1"/>
  <c r="C132" i="1"/>
  <c r="C128" i="1"/>
  <c r="C124" i="1"/>
  <c r="H114" i="1"/>
  <c r="H106" i="1"/>
  <c r="C141" i="1"/>
  <c r="H141" i="1"/>
  <c r="H113" i="1"/>
  <c r="E148" i="1"/>
  <c r="E154" i="1"/>
  <c r="F134" i="1"/>
  <c r="G134" i="1"/>
  <c r="E134" i="1"/>
  <c r="D134" i="1"/>
  <c r="F130" i="1"/>
  <c r="G130" i="1"/>
  <c r="E130" i="1"/>
  <c r="D130" i="1"/>
  <c r="F126" i="1"/>
  <c r="D126" i="1"/>
  <c r="G126" i="1"/>
  <c r="E126" i="1"/>
  <c r="F122" i="1"/>
  <c r="G122" i="1"/>
  <c r="E122" i="1"/>
  <c r="D122" i="1"/>
  <c r="D144" i="1"/>
  <c r="H144" i="1"/>
  <c r="F154" i="1"/>
  <c r="G154" i="1"/>
  <c r="H116" i="1"/>
  <c r="H112" i="1"/>
  <c r="H108" i="1"/>
  <c r="H115" i="1"/>
  <c r="H111" i="1"/>
  <c r="H107" i="1"/>
  <c r="C121" i="1"/>
  <c r="H104" i="1"/>
  <c r="D154" i="1"/>
  <c r="H128" i="1"/>
  <c r="H127" i="1"/>
  <c r="H124" i="1"/>
  <c r="H133" i="1"/>
  <c r="H135" i="1"/>
  <c r="H129" i="1"/>
  <c r="D136" i="1"/>
  <c r="H125" i="1"/>
  <c r="H123" i="1"/>
  <c r="H131" i="1"/>
  <c r="H121" i="1"/>
  <c r="F136" i="1"/>
  <c r="H130" i="1"/>
  <c r="C136" i="1"/>
  <c r="G136" i="1"/>
  <c r="H134" i="1"/>
  <c r="H148" i="1"/>
  <c r="C154" i="1"/>
  <c r="H122" i="1"/>
  <c r="H132" i="1"/>
  <c r="E136" i="1"/>
  <c r="H126" i="1"/>
  <c r="H154" i="1"/>
  <c r="H136" i="1"/>
  <c r="C91" i="1"/>
  <c r="D91" i="1"/>
  <c r="E91" i="1"/>
  <c r="F91" i="1"/>
  <c r="G91" i="1"/>
  <c r="H91" i="1"/>
  <c r="B91" i="1"/>
  <c r="R126" i="2"/>
  <c r="Q126" i="2"/>
  <c r="P126" i="2"/>
  <c r="O126" i="2"/>
  <c r="N126" i="2"/>
  <c r="S125" i="2"/>
  <c r="S124" i="2"/>
  <c r="S123" i="2"/>
  <c r="S122" i="2"/>
  <c r="S121" i="2"/>
  <c r="S120" i="2"/>
  <c r="S119" i="2"/>
  <c r="S118" i="2"/>
  <c r="S117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R114" i="2"/>
  <c r="R127" i="2"/>
  <c r="Q114" i="2"/>
  <c r="P114" i="2"/>
  <c r="P127" i="2"/>
  <c r="O114" i="2"/>
  <c r="O127" i="2"/>
  <c r="N114" i="2"/>
  <c r="S99" i="2"/>
  <c r="R96" i="2"/>
  <c r="Q96" i="2"/>
  <c r="P96" i="2"/>
  <c r="O96" i="2"/>
  <c r="N96" i="2"/>
  <c r="S95" i="2"/>
  <c r="S94" i="2"/>
  <c r="S93" i="2"/>
  <c r="S92" i="2"/>
  <c r="S91" i="2"/>
  <c r="S90" i="2"/>
  <c r="S89" i="2"/>
  <c r="S88" i="2"/>
  <c r="S87" i="2"/>
  <c r="R84" i="2"/>
  <c r="Q84" i="2"/>
  <c r="P84" i="2"/>
  <c r="O84" i="2"/>
  <c r="N84" i="2"/>
  <c r="S83" i="2"/>
  <c r="S82" i="2"/>
  <c r="S81" i="2"/>
  <c r="S80" i="2"/>
  <c r="S79" i="2"/>
  <c r="S78" i="2"/>
  <c r="S77" i="2"/>
  <c r="S76" i="2"/>
  <c r="S75" i="2"/>
  <c r="O72" i="2"/>
  <c r="P72" i="2"/>
  <c r="Q72" i="2"/>
  <c r="R72" i="2"/>
  <c r="N127" i="2"/>
  <c r="S114" i="2"/>
  <c r="S126" i="2"/>
  <c r="Q127" i="2"/>
  <c r="S96" i="2"/>
  <c r="S84" i="2"/>
  <c r="S127" i="2"/>
  <c r="E36" i="1"/>
  <c r="F36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E42" i="1"/>
  <c r="E43" i="1"/>
  <c r="F43" i="1"/>
  <c r="G43" i="1"/>
  <c r="H43" i="1"/>
  <c r="I43" i="1"/>
  <c r="J43" i="1"/>
  <c r="K43" i="1"/>
  <c r="L43" i="1"/>
  <c r="S6" i="2"/>
  <c r="F42" i="1"/>
  <c r="G42" i="1"/>
  <c r="H42" i="1"/>
  <c r="I42" i="1"/>
  <c r="J42" i="1"/>
  <c r="K42" i="1"/>
  <c r="L42" i="1"/>
  <c r="B4" i="1"/>
  <c r="E202" i="1"/>
  <c r="C11" i="1"/>
  <c r="C12" i="1"/>
  <c r="C25" i="1"/>
  <c r="C26" i="1"/>
  <c r="N6" i="2"/>
  <c r="E203" i="1"/>
  <c r="E201" i="1"/>
  <c r="F7" i="3"/>
  <c r="B172" i="1"/>
  <c r="B47" i="1"/>
  <c r="B88" i="1"/>
  <c r="B89" i="1"/>
  <c r="B86" i="1"/>
  <c r="B55" i="1"/>
  <c r="B48" i="1"/>
  <c r="B49" i="1"/>
  <c r="B53" i="1"/>
  <c r="B54" i="1"/>
  <c r="B51" i="1"/>
  <c r="F202" i="1"/>
  <c r="B97" i="1"/>
  <c r="J5" i="3"/>
  <c r="N2" i="2"/>
  <c r="D9" i="3"/>
  <c r="D11" i="3"/>
  <c r="D25" i="1"/>
  <c r="B173" i="1"/>
  <c r="H173" i="1"/>
  <c r="B177" i="1"/>
  <c r="H177" i="1"/>
  <c r="B181" i="1"/>
  <c r="H181" i="1"/>
  <c r="B185" i="1"/>
  <c r="H185" i="1"/>
  <c r="B189" i="1"/>
  <c r="H189" i="1"/>
  <c r="B193" i="1"/>
  <c r="H193" i="1"/>
  <c r="B183" i="1"/>
  <c r="H183" i="1"/>
  <c r="B174" i="1"/>
  <c r="H174" i="1"/>
  <c r="B178" i="1"/>
  <c r="H178" i="1"/>
  <c r="B182" i="1"/>
  <c r="H182" i="1"/>
  <c r="B186" i="1"/>
  <c r="H186" i="1"/>
  <c r="B190" i="1"/>
  <c r="H190" i="1"/>
  <c r="B194" i="1"/>
  <c r="H194" i="1"/>
  <c r="B175" i="1"/>
  <c r="H175" i="1"/>
  <c r="B179" i="1"/>
  <c r="H179" i="1"/>
  <c r="B187" i="1"/>
  <c r="H187" i="1"/>
  <c r="B188" i="1"/>
  <c r="H188" i="1"/>
  <c r="H172" i="1"/>
  <c r="B176" i="1"/>
  <c r="H176" i="1"/>
  <c r="B192" i="1"/>
  <c r="H192" i="1"/>
  <c r="B180" i="1"/>
  <c r="H180" i="1"/>
  <c r="B191" i="1"/>
  <c r="H191" i="1"/>
  <c r="B184" i="1"/>
  <c r="H184" i="1"/>
  <c r="C28" i="1"/>
  <c r="C30" i="1"/>
  <c r="C27" i="1"/>
  <c r="C29" i="1"/>
  <c r="O6" i="2"/>
  <c r="E206" i="1"/>
  <c r="C13" i="1"/>
  <c r="E198" i="1"/>
  <c r="D11" i="1"/>
  <c r="D12" i="1"/>
  <c r="D47" i="1"/>
  <c r="F11" i="3"/>
  <c r="D48" i="1"/>
  <c r="D55" i="1"/>
  <c r="D51" i="1"/>
  <c r="D26" i="1"/>
  <c r="D54" i="1"/>
  <c r="D88" i="1"/>
  <c r="D86" i="1"/>
  <c r="D89" i="1"/>
  <c r="C88" i="1"/>
  <c r="C89" i="1"/>
  <c r="C86" i="1"/>
  <c r="G202" i="1"/>
  <c r="B214" i="1"/>
  <c r="B244" i="1"/>
  <c r="F35" i="1"/>
  <c r="G35" i="1"/>
  <c r="H35" i="1"/>
  <c r="I35" i="1"/>
  <c r="J35" i="1"/>
  <c r="K35" i="1"/>
  <c r="L35" i="1"/>
  <c r="B215" i="1"/>
  <c r="B245" i="1"/>
  <c r="B213" i="1"/>
  <c r="B243" i="1"/>
  <c r="B217" i="1"/>
  <c r="B247" i="1"/>
  <c r="B219" i="1"/>
  <c r="B249" i="1"/>
  <c r="B218" i="1"/>
  <c r="B248" i="1"/>
  <c r="B216" i="1"/>
  <c r="B246" i="1"/>
  <c r="F203" i="1"/>
  <c r="F201" i="1"/>
  <c r="E205" i="1"/>
  <c r="E207" i="1"/>
  <c r="C97" i="1"/>
  <c r="F5" i="3"/>
  <c r="F6" i="3"/>
  <c r="D97" i="1"/>
  <c r="J9" i="3"/>
  <c r="D27" i="1"/>
  <c r="E25" i="1"/>
  <c r="D13" i="3"/>
  <c r="D15" i="3"/>
  <c r="D28" i="1"/>
  <c r="D30" i="1"/>
  <c r="C176" i="1"/>
  <c r="I176" i="1"/>
  <c r="C180" i="1"/>
  <c r="I180" i="1"/>
  <c r="C184" i="1"/>
  <c r="I184" i="1"/>
  <c r="C188" i="1"/>
  <c r="I188" i="1"/>
  <c r="C192" i="1"/>
  <c r="I192" i="1"/>
  <c r="C174" i="1"/>
  <c r="I174" i="1"/>
  <c r="C178" i="1"/>
  <c r="I178" i="1"/>
  <c r="C186" i="1"/>
  <c r="I186" i="1"/>
  <c r="C173" i="1"/>
  <c r="I173" i="1"/>
  <c r="C177" i="1"/>
  <c r="I177" i="1"/>
  <c r="C181" i="1"/>
  <c r="I181" i="1"/>
  <c r="C185" i="1"/>
  <c r="I185" i="1"/>
  <c r="C189" i="1"/>
  <c r="I189" i="1"/>
  <c r="C193" i="1"/>
  <c r="I193" i="1"/>
  <c r="C182" i="1"/>
  <c r="I182" i="1"/>
  <c r="C175" i="1"/>
  <c r="I175" i="1"/>
  <c r="C190" i="1"/>
  <c r="I190" i="1"/>
  <c r="C183" i="1"/>
  <c r="I183" i="1"/>
  <c r="C194" i="1"/>
  <c r="I194" i="1"/>
  <c r="C187" i="1"/>
  <c r="I187" i="1"/>
  <c r="C191" i="1"/>
  <c r="I191" i="1"/>
  <c r="C179" i="1"/>
  <c r="I179" i="1"/>
  <c r="E33" i="2"/>
  <c r="O2" i="2"/>
  <c r="C14" i="1"/>
  <c r="P6" i="2"/>
  <c r="E11" i="1"/>
  <c r="E12" i="1"/>
  <c r="E199" i="1"/>
  <c r="C6" i="3"/>
  <c r="C222" i="1"/>
  <c r="C252" i="1"/>
  <c r="C225" i="1"/>
  <c r="C255" i="1"/>
  <c r="C232" i="1"/>
  <c r="C262" i="1"/>
  <c r="C234" i="1"/>
  <c r="C264" i="1"/>
  <c r="C235" i="1"/>
  <c r="C265" i="1"/>
  <c r="C213" i="1"/>
  <c r="C243" i="1"/>
  <c r="B99" i="1"/>
  <c r="C230" i="1"/>
  <c r="C260" i="1"/>
  <c r="C214" i="1"/>
  <c r="C244" i="1"/>
  <c r="C219" i="1"/>
  <c r="C249" i="1"/>
  <c r="C221" i="1"/>
  <c r="C251" i="1"/>
  <c r="C217" i="1"/>
  <c r="C247" i="1"/>
  <c r="C228" i="1"/>
  <c r="C258" i="1"/>
  <c r="C226" i="1"/>
  <c r="C256" i="1"/>
  <c r="C233" i="1"/>
  <c r="C263" i="1"/>
  <c r="C215" i="1"/>
  <c r="C245" i="1"/>
  <c r="C227" i="1"/>
  <c r="C257" i="1"/>
  <c r="C231" i="1"/>
  <c r="C261" i="1"/>
  <c r="C216" i="1"/>
  <c r="C246" i="1"/>
  <c r="C224" i="1"/>
  <c r="C254" i="1"/>
  <c r="C223" i="1"/>
  <c r="C253" i="1"/>
  <c r="C229" i="1"/>
  <c r="C259" i="1"/>
  <c r="C218" i="1"/>
  <c r="C248" i="1"/>
  <c r="C220" i="1"/>
  <c r="C250" i="1"/>
  <c r="E55" i="1"/>
  <c r="C67" i="1"/>
  <c r="E47" i="1"/>
  <c r="C59" i="1"/>
  <c r="E26" i="1"/>
  <c r="D29" i="1"/>
  <c r="F15" i="3"/>
  <c r="C64" i="1"/>
  <c r="C61" i="1"/>
  <c r="C65" i="1"/>
  <c r="E54" i="1"/>
  <c r="C66" i="1"/>
  <c r="E51" i="1"/>
  <c r="C63" i="1"/>
  <c r="C62" i="1"/>
  <c r="E48" i="1"/>
  <c r="C60" i="1"/>
  <c r="F55" i="1"/>
  <c r="F51" i="1"/>
  <c r="F47" i="1"/>
  <c r="F54" i="1"/>
  <c r="F48" i="1"/>
  <c r="E89" i="1"/>
  <c r="E88" i="1"/>
  <c r="E86" i="1"/>
  <c r="F86" i="1"/>
  <c r="F89" i="1"/>
  <c r="F88" i="1"/>
  <c r="H202" i="1"/>
  <c r="H200" i="1"/>
  <c r="F206" i="1"/>
  <c r="G201" i="1"/>
  <c r="G203" i="1"/>
  <c r="F97" i="1"/>
  <c r="J13" i="3"/>
  <c r="E97" i="1"/>
  <c r="D99" i="1"/>
  <c r="D17" i="3"/>
  <c r="D18" i="3"/>
  <c r="F25" i="1"/>
  <c r="F18" i="3"/>
  <c r="D13" i="1"/>
  <c r="F198" i="1"/>
  <c r="E28" i="1"/>
  <c r="E30" i="1"/>
  <c r="D175" i="1"/>
  <c r="J175" i="1"/>
  <c r="D179" i="1"/>
  <c r="J179" i="1"/>
  <c r="D183" i="1"/>
  <c r="J183" i="1"/>
  <c r="D187" i="1"/>
  <c r="J187" i="1"/>
  <c r="D191" i="1"/>
  <c r="J191" i="1"/>
  <c r="D181" i="1"/>
  <c r="J181" i="1"/>
  <c r="D189" i="1"/>
  <c r="J189" i="1"/>
  <c r="D176" i="1"/>
  <c r="J176" i="1"/>
  <c r="D180" i="1"/>
  <c r="J180" i="1"/>
  <c r="D184" i="1"/>
  <c r="J184" i="1"/>
  <c r="D188" i="1"/>
  <c r="J188" i="1"/>
  <c r="D192" i="1"/>
  <c r="J192" i="1"/>
  <c r="D173" i="1"/>
  <c r="J173" i="1"/>
  <c r="D177" i="1"/>
  <c r="J177" i="1"/>
  <c r="D185" i="1"/>
  <c r="J185" i="1"/>
  <c r="D178" i="1"/>
  <c r="J178" i="1"/>
  <c r="D193" i="1"/>
  <c r="J193" i="1"/>
  <c r="D174" i="1"/>
  <c r="J174" i="1"/>
  <c r="D194" i="1"/>
  <c r="J194" i="1"/>
  <c r="D182" i="1"/>
  <c r="J182" i="1"/>
  <c r="D190" i="1"/>
  <c r="J190" i="1"/>
  <c r="D186" i="1"/>
  <c r="J186" i="1"/>
  <c r="E27" i="1"/>
  <c r="P2" i="2"/>
  <c r="C68" i="1"/>
  <c r="D218" i="1"/>
  <c r="D248" i="1"/>
  <c r="D215" i="1"/>
  <c r="D245" i="1"/>
  <c r="D219" i="1"/>
  <c r="D249" i="1"/>
  <c r="D216" i="1"/>
  <c r="D246" i="1"/>
  <c r="D217" i="1"/>
  <c r="D247" i="1"/>
  <c r="D214" i="1"/>
  <c r="D244" i="1"/>
  <c r="F205" i="1"/>
  <c r="F207" i="1"/>
  <c r="F11" i="1"/>
  <c r="F12" i="1"/>
  <c r="C69" i="1"/>
  <c r="H48" i="1"/>
  <c r="E223" i="1"/>
  <c r="E253" i="1"/>
  <c r="H86" i="1"/>
  <c r="H88" i="1"/>
  <c r="F9" i="3"/>
  <c r="D10" i="3"/>
  <c r="H47" i="1"/>
  <c r="H55" i="1"/>
  <c r="H89" i="1"/>
  <c r="H51" i="1"/>
  <c r="H56" i="1"/>
  <c r="H241" i="1"/>
  <c r="F26" i="1"/>
  <c r="H54" i="1"/>
  <c r="Q6" i="2"/>
  <c r="E29" i="1"/>
  <c r="G47" i="1"/>
  <c r="D59" i="1"/>
  <c r="F17" i="3"/>
  <c r="I200" i="1"/>
  <c r="D14" i="1"/>
  <c r="G48" i="1"/>
  <c r="D60" i="1"/>
  <c r="F33" i="2"/>
  <c r="D68" i="1"/>
  <c r="G51" i="1"/>
  <c r="D63" i="1"/>
  <c r="G54" i="1"/>
  <c r="D66" i="1"/>
  <c r="G55" i="1"/>
  <c r="D67" i="1"/>
  <c r="D65" i="1"/>
  <c r="D62" i="1"/>
  <c r="D61" i="1"/>
  <c r="G88" i="1"/>
  <c r="G86" i="1"/>
  <c r="G89" i="1"/>
  <c r="H97" i="1"/>
  <c r="I202" i="1"/>
  <c r="D280" i="1"/>
  <c r="C70" i="1"/>
  <c r="G206" i="1"/>
  <c r="H201" i="1"/>
  <c r="H203" i="1"/>
  <c r="F199" i="1"/>
  <c r="E225" i="1"/>
  <c r="E215" i="1"/>
  <c r="E245" i="1"/>
  <c r="D272" i="1"/>
  <c r="E232" i="1"/>
  <c r="E262" i="1"/>
  <c r="D289" i="1"/>
  <c r="E216" i="1"/>
  <c r="E246" i="1"/>
  <c r="D273" i="1"/>
  <c r="E221" i="1"/>
  <c r="E231" i="1"/>
  <c r="E261" i="1"/>
  <c r="D288" i="1"/>
  <c r="E217" i="1"/>
  <c r="E247" i="1"/>
  <c r="D274" i="1"/>
  <c r="D270" i="1"/>
  <c r="E226" i="1"/>
  <c r="E220" i="1"/>
  <c r="E250" i="1"/>
  <c r="D277" i="1"/>
  <c r="E227" i="1"/>
  <c r="E257" i="1"/>
  <c r="D284" i="1"/>
  <c r="E234" i="1"/>
  <c r="E264" i="1"/>
  <c r="D291" i="1"/>
  <c r="E235" i="1"/>
  <c r="E230" i="1"/>
  <c r="E260" i="1"/>
  <c r="D287" i="1"/>
  <c r="E219" i="1"/>
  <c r="E249" i="1"/>
  <c r="D276" i="1"/>
  <c r="E233" i="1"/>
  <c r="E263" i="1"/>
  <c r="D290" i="1"/>
  <c r="E218" i="1"/>
  <c r="E214" i="1"/>
  <c r="E244" i="1"/>
  <c r="D271" i="1"/>
  <c r="E224" i="1"/>
  <c r="E254" i="1"/>
  <c r="D281" i="1"/>
  <c r="E229" i="1"/>
  <c r="E259" i="1"/>
  <c r="D286" i="1"/>
  <c r="E228" i="1"/>
  <c r="D269" i="1"/>
  <c r="E222" i="1"/>
  <c r="E252" i="1"/>
  <c r="D279" i="1"/>
  <c r="F10" i="3"/>
  <c r="G97" i="1"/>
  <c r="F99" i="1"/>
  <c r="E174" i="1"/>
  <c r="K174" i="1"/>
  <c r="E62" i="1"/>
  <c r="F28" i="1"/>
  <c r="F30" i="1"/>
  <c r="D20" i="3"/>
  <c r="D21" i="3"/>
  <c r="E180" i="1"/>
  <c r="K180" i="1"/>
  <c r="E176" i="1"/>
  <c r="K176" i="1"/>
  <c r="E186" i="1"/>
  <c r="K186" i="1"/>
  <c r="E189" i="1"/>
  <c r="K189" i="1"/>
  <c r="E193" i="1"/>
  <c r="K193" i="1"/>
  <c r="E183" i="1"/>
  <c r="K183" i="1"/>
  <c r="E177" i="1"/>
  <c r="K177" i="1"/>
  <c r="E188" i="1"/>
  <c r="K188" i="1"/>
  <c r="E171" i="1"/>
  <c r="K171" i="1"/>
  <c r="E179" i="1"/>
  <c r="K179" i="1"/>
  <c r="E172" i="1"/>
  <c r="K172" i="1"/>
  <c r="E182" i="1"/>
  <c r="K182" i="1"/>
  <c r="H204" i="1"/>
  <c r="E192" i="1"/>
  <c r="K192" i="1"/>
  <c r="E185" i="1"/>
  <c r="K185" i="1"/>
  <c r="E191" i="1"/>
  <c r="K191" i="1"/>
  <c r="E175" i="1"/>
  <c r="K175" i="1"/>
  <c r="E194" i="1"/>
  <c r="K194" i="1"/>
  <c r="E178" i="1"/>
  <c r="K178" i="1"/>
  <c r="Q2" i="2"/>
  <c r="F27" i="1"/>
  <c r="E173" i="1"/>
  <c r="K173" i="1"/>
  <c r="E181" i="1"/>
  <c r="K181" i="1"/>
  <c r="E187" i="1"/>
  <c r="K187" i="1"/>
  <c r="E184" i="1"/>
  <c r="K184" i="1"/>
  <c r="E190" i="1"/>
  <c r="K190" i="1"/>
  <c r="F20" i="3"/>
  <c r="D64" i="1"/>
  <c r="E13" i="1"/>
  <c r="H214" i="1"/>
  <c r="H244" i="1"/>
  <c r="H206" i="1"/>
  <c r="F214" i="1"/>
  <c r="F244" i="1"/>
  <c r="F217" i="1"/>
  <c r="F247" i="1"/>
  <c r="E248" i="1"/>
  <c r="F215" i="1"/>
  <c r="F245" i="1"/>
  <c r="F218" i="1"/>
  <c r="F248" i="1"/>
  <c r="E265" i="1"/>
  <c r="E258" i="1"/>
  <c r="D285" i="1"/>
  <c r="E256" i="1"/>
  <c r="D283" i="1"/>
  <c r="E255" i="1"/>
  <c r="D282" i="1"/>
  <c r="E251" i="1"/>
  <c r="D278" i="1"/>
  <c r="G205" i="1"/>
  <c r="G207" i="1"/>
  <c r="I203" i="1"/>
  <c r="I201" i="1"/>
  <c r="G11" i="1"/>
  <c r="G12" i="1"/>
  <c r="F36" i="2"/>
  <c r="F39" i="2"/>
  <c r="F42" i="2"/>
  <c r="F40" i="2"/>
  <c r="F35" i="2"/>
  <c r="F37" i="2"/>
  <c r="F38" i="2"/>
  <c r="D69" i="1"/>
  <c r="G198" i="1"/>
  <c r="G225" i="1"/>
  <c r="G255" i="1"/>
  <c r="F13" i="3"/>
  <c r="F14" i="3"/>
  <c r="R6" i="2"/>
  <c r="F29" i="1"/>
  <c r="E14" i="1"/>
  <c r="I54" i="1"/>
  <c r="E66" i="1"/>
  <c r="H33" i="2"/>
  <c r="I48" i="1"/>
  <c r="E60" i="1"/>
  <c r="E64" i="1"/>
  <c r="E65" i="1"/>
  <c r="I47" i="1"/>
  <c r="E59" i="1"/>
  <c r="I55" i="1"/>
  <c r="E67" i="1"/>
  <c r="I51" i="1"/>
  <c r="E63" i="1"/>
  <c r="E61" i="1"/>
  <c r="F13" i="1"/>
  <c r="H198" i="1"/>
  <c r="J55" i="1"/>
  <c r="I86" i="1"/>
  <c r="J88" i="1"/>
  <c r="J48" i="1"/>
  <c r="F21" i="3"/>
  <c r="J86" i="1"/>
  <c r="J89" i="1"/>
  <c r="I88" i="1"/>
  <c r="I89" i="1"/>
  <c r="J47" i="1"/>
  <c r="G25" i="1"/>
  <c r="G26" i="1"/>
  <c r="J54" i="1"/>
  <c r="J51" i="1"/>
  <c r="J56" i="1"/>
  <c r="J241" i="1"/>
  <c r="C54" i="1"/>
  <c r="B66" i="1"/>
  <c r="H212" i="1"/>
  <c r="H242" i="1"/>
  <c r="H217" i="1"/>
  <c r="H247" i="1"/>
  <c r="D275" i="1"/>
  <c r="F41" i="2"/>
  <c r="F282" i="1"/>
  <c r="D292" i="1"/>
  <c r="H218" i="1"/>
  <c r="H248" i="1"/>
  <c r="H215" i="1"/>
  <c r="H245" i="1"/>
  <c r="D70" i="1"/>
  <c r="H216" i="1"/>
  <c r="H246" i="1"/>
  <c r="H205" i="1"/>
  <c r="H213" i="1"/>
  <c r="H243" i="1"/>
  <c r="H207" i="1"/>
  <c r="H219" i="1"/>
  <c r="H249" i="1"/>
  <c r="F219" i="1"/>
  <c r="F249" i="1"/>
  <c r="F216" i="1"/>
  <c r="F246" i="1"/>
  <c r="G199" i="1"/>
  <c r="G226" i="1"/>
  <c r="G256" i="1"/>
  <c r="F283" i="1"/>
  <c r="G235" i="1"/>
  <c r="G220" i="1"/>
  <c r="G250" i="1"/>
  <c r="F277" i="1"/>
  <c r="G221" i="1"/>
  <c r="G214" i="1"/>
  <c r="G244" i="1"/>
  <c r="F271" i="1"/>
  <c r="G233" i="1"/>
  <c r="G263" i="1"/>
  <c r="F290" i="1"/>
  <c r="G215" i="1"/>
  <c r="G245" i="1"/>
  <c r="F272" i="1"/>
  <c r="G231" i="1"/>
  <c r="G232" i="1"/>
  <c r="G262" i="1"/>
  <c r="F289" i="1"/>
  <c r="G217" i="1"/>
  <c r="G247" i="1"/>
  <c r="F274" i="1"/>
  <c r="G223" i="1"/>
  <c r="G253" i="1"/>
  <c r="F280" i="1"/>
  <c r="G229" i="1"/>
  <c r="G259" i="1"/>
  <c r="F286" i="1"/>
  <c r="G218" i="1"/>
  <c r="G248" i="1"/>
  <c r="F275" i="1"/>
  <c r="G224" i="1"/>
  <c r="G254" i="1"/>
  <c r="F281" i="1"/>
  <c r="G228" i="1"/>
  <c r="G258" i="1"/>
  <c r="F285" i="1"/>
  <c r="G230" i="1"/>
  <c r="G222" i="1"/>
  <c r="G252" i="1"/>
  <c r="F279" i="1"/>
  <c r="G227" i="1"/>
  <c r="G257" i="1"/>
  <c r="F284" i="1"/>
  <c r="G234" i="1"/>
  <c r="G264" i="1"/>
  <c r="F291" i="1"/>
  <c r="J97" i="1"/>
  <c r="D14" i="3"/>
  <c r="I97" i="1"/>
  <c r="H99" i="1"/>
  <c r="F181" i="1"/>
  <c r="L181" i="1"/>
  <c r="G28" i="1"/>
  <c r="G30" i="1"/>
  <c r="I56" i="1"/>
  <c r="E68" i="1"/>
  <c r="E69" i="1"/>
  <c r="F14" i="1"/>
  <c r="J33" i="2"/>
  <c r="F173" i="1"/>
  <c r="L173" i="1"/>
  <c r="F188" i="1"/>
  <c r="L188" i="1"/>
  <c r="F190" i="1"/>
  <c r="L190" i="1"/>
  <c r="F178" i="1"/>
  <c r="L178" i="1"/>
  <c r="R2" i="2"/>
  <c r="F177" i="1"/>
  <c r="L177" i="1"/>
  <c r="F184" i="1"/>
  <c r="L184" i="1"/>
  <c r="F174" i="1"/>
  <c r="L174" i="1"/>
  <c r="F183" i="1"/>
  <c r="L183" i="1"/>
  <c r="F189" i="1"/>
  <c r="L189" i="1"/>
  <c r="F180" i="1"/>
  <c r="L180" i="1"/>
  <c r="F194" i="1"/>
  <c r="L194" i="1"/>
  <c r="F193" i="1"/>
  <c r="L193" i="1"/>
  <c r="F176" i="1"/>
  <c r="L176" i="1"/>
  <c r="F175" i="1"/>
  <c r="L175" i="1"/>
  <c r="F186" i="1"/>
  <c r="L186" i="1"/>
  <c r="F187" i="1"/>
  <c r="L187" i="1"/>
  <c r="F185" i="1"/>
  <c r="L185" i="1"/>
  <c r="B5" i="1"/>
  <c r="S2" i="2"/>
  <c r="I204" i="1"/>
  <c r="F192" i="1"/>
  <c r="L192" i="1"/>
  <c r="G27" i="1"/>
  <c r="F171" i="1"/>
  <c r="L171" i="1"/>
  <c r="F191" i="1"/>
  <c r="L191" i="1"/>
  <c r="F172" i="1"/>
  <c r="L172" i="1"/>
  <c r="F182" i="1"/>
  <c r="L182" i="1"/>
  <c r="F179" i="1"/>
  <c r="L179" i="1"/>
  <c r="C53" i="1"/>
  <c r="C49" i="1"/>
  <c r="C48" i="1"/>
  <c r="C51" i="1"/>
  <c r="C47" i="1"/>
  <c r="C55" i="1"/>
  <c r="B67" i="1"/>
  <c r="I218" i="1"/>
  <c r="I248" i="1"/>
  <c r="J214" i="1"/>
  <c r="J244" i="1"/>
  <c r="G219" i="1"/>
  <c r="G249" i="1"/>
  <c r="G216" i="1"/>
  <c r="G246" i="1"/>
  <c r="G265" i="1"/>
  <c r="F292" i="1"/>
  <c r="G261" i="1"/>
  <c r="F288" i="1"/>
  <c r="G260" i="1"/>
  <c r="F287" i="1"/>
  <c r="G251" i="1"/>
  <c r="F278" i="1"/>
  <c r="I206" i="1"/>
  <c r="H41" i="2"/>
  <c r="H38" i="2"/>
  <c r="H40" i="2"/>
  <c r="H37" i="2"/>
  <c r="H199" i="1"/>
  <c r="E70" i="1"/>
  <c r="I224" i="1"/>
  <c r="I254" i="1"/>
  <c r="I231" i="1"/>
  <c r="I261" i="1"/>
  <c r="I213" i="1"/>
  <c r="I243" i="1"/>
  <c r="I214" i="1"/>
  <c r="I244" i="1"/>
  <c r="I216" i="1"/>
  <c r="I246" i="1"/>
  <c r="I223" i="1"/>
  <c r="I253" i="1"/>
  <c r="I232" i="1"/>
  <c r="I262" i="1"/>
  <c r="I234" i="1"/>
  <c r="I264" i="1"/>
  <c r="I233" i="1"/>
  <c r="I263" i="1"/>
  <c r="I212" i="1"/>
  <c r="I242" i="1"/>
  <c r="I229" i="1"/>
  <c r="I259" i="1"/>
  <c r="I225" i="1"/>
  <c r="I255" i="1"/>
  <c r="I217" i="1"/>
  <c r="I247" i="1"/>
  <c r="I215" i="1"/>
  <c r="I245" i="1"/>
  <c r="I222" i="1"/>
  <c r="I252" i="1"/>
  <c r="I228" i="1"/>
  <c r="I258" i="1"/>
  <c r="I226" i="1"/>
  <c r="I256" i="1"/>
  <c r="I221" i="1"/>
  <c r="I251" i="1"/>
  <c r="I220" i="1"/>
  <c r="I250" i="1"/>
  <c r="I219" i="1"/>
  <c r="I249" i="1"/>
  <c r="I235" i="1"/>
  <c r="I265" i="1"/>
  <c r="I230" i="1"/>
  <c r="I260" i="1"/>
  <c r="I227" i="1"/>
  <c r="I257" i="1"/>
  <c r="G29" i="1"/>
  <c r="I241" i="1"/>
  <c r="F64" i="1"/>
  <c r="K51" i="1"/>
  <c r="F63" i="1"/>
  <c r="K55" i="1"/>
  <c r="F67" i="1"/>
  <c r="F65" i="1"/>
  <c r="F62" i="1"/>
  <c r="K54" i="1"/>
  <c r="F66" i="1"/>
  <c r="F61" i="1"/>
  <c r="K47" i="1"/>
  <c r="F59" i="1"/>
  <c r="K48" i="1"/>
  <c r="F60" i="1"/>
  <c r="K88" i="1"/>
  <c r="K86" i="1"/>
  <c r="K89" i="1"/>
  <c r="G13" i="1"/>
  <c r="I198" i="1"/>
  <c r="B59" i="1"/>
  <c r="B61" i="1"/>
  <c r="B63" i="1"/>
  <c r="B60" i="1"/>
  <c r="B62" i="1"/>
  <c r="B65" i="1"/>
  <c r="B64" i="1"/>
  <c r="B68" i="1"/>
  <c r="B69" i="1"/>
  <c r="J213" i="1"/>
  <c r="J243" i="1"/>
  <c r="J215" i="1"/>
  <c r="J245" i="1"/>
  <c r="F270" i="1"/>
  <c r="H36" i="2"/>
  <c r="F276" i="1"/>
  <c r="H42" i="2"/>
  <c r="H271" i="1"/>
  <c r="J37" i="2"/>
  <c r="H287" i="1"/>
  <c r="H280" i="1"/>
  <c r="H269" i="1"/>
  <c r="H285" i="1"/>
  <c r="H274" i="1"/>
  <c r="J40" i="2"/>
  <c r="H275" i="1"/>
  <c r="J41" i="2"/>
  <c r="H291" i="1"/>
  <c r="H284" i="1"/>
  <c r="H273" i="1"/>
  <c r="J39" i="2"/>
  <c r="H289" i="1"/>
  <c r="H290" i="1"/>
  <c r="H279" i="1"/>
  <c r="H272" i="1"/>
  <c r="J38" i="2"/>
  <c r="H288" i="1"/>
  <c r="H277" i="1"/>
  <c r="H270" i="1"/>
  <c r="H278" i="1"/>
  <c r="H283" i="1"/>
  <c r="H276" i="1"/>
  <c r="J42" i="2"/>
  <c r="H292" i="1"/>
  <c r="H281" i="1"/>
  <c r="H286" i="1"/>
  <c r="H282" i="1"/>
  <c r="F273" i="1"/>
  <c r="H39" i="2"/>
  <c r="F269" i="1"/>
  <c r="H35" i="2"/>
  <c r="J216" i="1"/>
  <c r="J246" i="1"/>
  <c r="J217" i="1"/>
  <c r="J247" i="1"/>
  <c r="J212" i="1"/>
  <c r="J242" i="1"/>
  <c r="J219" i="1"/>
  <c r="J249" i="1"/>
  <c r="J218" i="1"/>
  <c r="J248" i="1"/>
  <c r="I207" i="1"/>
  <c r="I205" i="1"/>
  <c r="K97" i="1"/>
  <c r="J99" i="1"/>
  <c r="K56" i="1"/>
  <c r="F68" i="1"/>
  <c r="F70" i="1"/>
  <c r="G14" i="1"/>
  <c r="L33" i="2"/>
  <c r="B70" i="1"/>
  <c r="K219" i="1"/>
  <c r="K249" i="1"/>
  <c r="B274" i="1"/>
  <c r="E40" i="2"/>
  <c r="B290" i="1"/>
  <c r="B283" i="1"/>
  <c r="B269" i="1"/>
  <c r="E35" i="2"/>
  <c r="B280" i="1"/>
  <c r="B289" i="1"/>
  <c r="B278" i="1"/>
  <c r="B271" i="1"/>
  <c r="E37" i="2"/>
  <c r="B287" i="1"/>
  <c r="B277" i="1"/>
  <c r="B288" i="1"/>
  <c r="B276" i="1"/>
  <c r="E42" i="2"/>
  <c r="B282" i="1"/>
  <c r="B275" i="1"/>
  <c r="E41" i="2"/>
  <c r="B291" i="1"/>
  <c r="B285" i="1"/>
  <c r="B273" i="1"/>
  <c r="E39" i="2"/>
  <c r="B284" i="1"/>
  <c r="B286" i="1"/>
  <c r="B279" i="1"/>
  <c r="B272" i="1"/>
  <c r="E38" i="2"/>
  <c r="B270" i="1"/>
  <c r="E36" i="2"/>
  <c r="B281" i="1"/>
  <c r="B292" i="1"/>
  <c r="I199" i="1"/>
  <c r="F69" i="1"/>
  <c r="K222" i="1"/>
  <c r="K252" i="1"/>
  <c r="K218" i="1"/>
  <c r="K248" i="1"/>
  <c r="K221" i="1"/>
  <c r="K251" i="1"/>
  <c r="K217" i="1"/>
  <c r="K247" i="1"/>
  <c r="K231" i="1"/>
  <c r="K261" i="1"/>
  <c r="K215" i="1"/>
  <c r="K245" i="1"/>
  <c r="K234" i="1"/>
  <c r="K264" i="1"/>
  <c r="K214" i="1"/>
  <c r="K244" i="1"/>
  <c r="K230" i="1"/>
  <c r="K260" i="1"/>
  <c r="K213" i="1"/>
  <c r="K243" i="1"/>
  <c r="K226" i="1"/>
  <c r="K256" i="1"/>
  <c r="K235" i="1"/>
  <c r="K265" i="1"/>
  <c r="K225" i="1"/>
  <c r="K255" i="1"/>
  <c r="K224" i="1"/>
  <c r="K254" i="1"/>
  <c r="K232" i="1"/>
  <c r="K262" i="1"/>
  <c r="K229" i="1"/>
  <c r="K259" i="1"/>
  <c r="K216" i="1"/>
  <c r="K246" i="1"/>
  <c r="K212" i="1"/>
  <c r="K242" i="1"/>
  <c r="K220" i="1"/>
  <c r="K250" i="1"/>
  <c r="K223" i="1"/>
  <c r="K253" i="1"/>
  <c r="K233" i="1"/>
  <c r="K263" i="1"/>
  <c r="K227" i="1"/>
  <c r="K257" i="1"/>
  <c r="K228" i="1"/>
  <c r="K258" i="1"/>
  <c r="K241" i="1"/>
  <c r="N11" i="2"/>
  <c r="B299" i="1"/>
  <c r="B310" i="1"/>
  <c r="B307" i="1"/>
  <c r="B314" i="1"/>
  <c r="B305" i="1"/>
  <c r="B306" i="1"/>
  <c r="B311" i="1"/>
  <c r="B309" i="1"/>
  <c r="B317" i="1"/>
  <c r="B316" i="1"/>
  <c r="B304" i="1"/>
  <c r="N13" i="2"/>
  <c r="B301" i="1"/>
  <c r="B308" i="1"/>
  <c r="N12" i="2"/>
  <c r="B300" i="1"/>
  <c r="B315" i="1"/>
  <c r="B303" i="1"/>
  <c r="B313" i="1"/>
  <c r="B312" i="1"/>
  <c r="B318" i="1"/>
  <c r="N14" i="2"/>
  <c r="B302" i="1"/>
  <c r="J272" i="1"/>
  <c r="L38" i="2"/>
  <c r="J288" i="1"/>
  <c r="J281" i="1"/>
  <c r="J270" i="1"/>
  <c r="J286" i="1"/>
  <c r="J271" i="1"/>
  <c r="L37" i="2"/>
  <c r="J276" i="1"/>
  <c r="L42" i="2"/>
  <c r="J292" i="1"/>
  <c r="J285" i="1"/>
  <c r="J274" i="1"/>
  <c r="L40" i="2"/>
  <c r="J290" i="1"/>
  <c r="J287" i="1"/>
  <c r="J280" i="1"/>
  <c r="J273" i="1"/>
  <c r="L39" i="2"/>
  <c r="J289" i="1"/>
  <c r="J278" i="1"/>
  <c r="J279" i="1"/>
  <c r="J275" i="1"/>
  <c r="L41" i="2"/>
  <c r="J284" i="1"/>
  <c r="J277" i="1"/>
  <c r="J269" i="1"/>
  <c r="J282" i="1"/>
  <c r="J283" i="1"/>
  <c r="J291" i="1"/>
  <c r="H10" i="3"/>
  <c r="J10" i="3"/>
  <c r="S63" i="2"/>
  <c r="K10" i="3"/>
  <c r="L10" i="3"/>
  <c r="S163" i="2"/>
  <c r="S65" i="2"/>
  <c r="S64" i="2"/>
  <c r="H14" i="3"/>
  <c r="J14" i="3"/>
  <c r="S67" i="2"/>
  <c r="S66" i="2"/>
  <c r="K14" i="3"/>
  <c r="S68" i="2"/>
  <c r="S70" i="2"/>
  <c r="L14" i="3"/>
  <c r="S69" i="2"/>
  <c r="S71" i="2"/>
  <c r="S72" i="2"/>
  <c r="C21" i="1"/>
  <c r="C22" i="1"/>
  <c r="B21" i="1"/>
  <c r="B22" i="1"/>
  <c r="B24" i="1"/>
  <c r="J164" i="1"/>
  <c r="I164" i="1"/>
  <c r="J163" i="1"/>
  <c r="H162" i="1"/>
  <c r="E162" i="1"/>
  <c r="E164" i="1"/>
  <c r="H164" i="1"/>
  <c r="G162" i="1"/>
  <c r="J162" i="1"/>
  <c r="F162" i="1"/>
  <c r="G164" i="1"/>
  <c r="F164" i="1"/>
  <c r="I162" i="1"/>
  <c r="I165" i="1"/>
  <c r="R132" i="2"/>
  <c r="H163" i="1"/>
  <c r="G163" i="1"/>
  <c r="F163" i="1"/>
  <c r="I163" i="1"/>
  <c r="E163" i="1"/>
  <c r="N22" i="2"/>
  <c r="N8" i="2"/>
  <c r="N16" i="2"/>
  <c r="N29" i="2"/>
  <c r="N17" i="2"/>
  <c r="N28" i="2"/>
  <c r="N18" i="2"/>
  <c r="N19" i="2"/>
  <c r="N21" i="2"/>
  <c r="N30" i="2"/>
  <c r="N24" i="2"/>
  <c r="N10" i="2"/>
  <c r="N15" i="2"/>
  <c r="N27" i="2"/>
  <c r="N25" i="2"/>
  <c r="N20" i="2"/>
  <c r="N9" i="2"/>
  <c r="N26" i="2"/>
  <c r="N23" i="2"/>
  <c r="G166" i="1"/>
  <c r="P133" i="2"/>
  <c r="H167" i="1"/>
  <c r="Q134" i="2"/>
  <c r="F166" i="1"/>
  <c r="O133" i="2"/>
  <c r="F167" i="1"/>
  <c r="O134" i="2"/>
  <c r="G165" i="1"/>
  <c r="G167" i="1"/>
  <c r="P134" i="2"/>
  <c r="I166" i="1"/>
  <c r="R133" i="2"/>
  <c r="E165" i="1"/>
  <c r="N51" i="2"/>
  <c r="S23" i="2"/>
  <c r="D315" i="1"/>
  <c r="H298" i="1"/>
  <c r="F315" i="1"/>
  <c r="D297" i="1"/>
  <c r="H296" i="1"/>
  <c r="O31" i="2"/>
  <c r="J296" i="1"/>
  <c r="F312" i="1"/>
  <c r="N43" i="2"/>
  <c r="S15" i="2"/>
  <c r="D311" i="1"/>
  <c r="D317" i="1"/>
  <c r="H311" i="1"/>
  <c r="N58" i="2"/>
  <c r="S30" i="2"/>
  <c r="D301" i="1"/>
  <c r="H304" i="1"/>
  <c r="F313" i="1"/>
  <c r="J317" i="1"/>
  <c r="F314" i="1"/>
  <c r="S19" i="2"/>
  <c r="N47" i="2"/>
  <c r="F318" i="1"/>
  <c r="D318" i="1"/>
  <c r="J310" i="1"/>
  <c r="S17" i="2"/>
  <c r="N45" i="2"/>
  <c r="J306" i="1"/>
  <c r="D314" i="1"/>
  <c r="H317" i="1"/>
  <c r="J309" i="1"/>
  <c r="F303" i="1"/>
  <c r="H315" i="1"/>
  <c r="H302" i="1"/>
  <c r="S13" i="2"/>
  <c r="N41" i="2"/>
  <c r="H305" i="1"/>
  <c r="S9" i="2"/>
  <c r="B297" i="1"/>
  <c r="N37" i="2"/>
  <c r="F304" i="1"/>
  <c r="S14" i="2"/>
  <c r="N42" i="2"/>
  <c r="S20" i="2"/>
  <c r="N48" i="2"/>
  <c r="F298" i="1"/>
  <c r="J301" i="1"/>
  <c r="D306" i="1"/>
  <c r="F317" i="1"/>
  <c r="H303" i="1"/>
  <c r="J298" i="1"/>
  <c r="F302" i="1"/>
  <c r="N49" i="2"/>
  <c r="S21" i="2"/>
  <c r="F297" i="1"/>
  <c r="J303" i="1"/>
  <c r="S11" i="2"/>
  <c r="N39" i="2"/>
  <c r="H295" i="1"/>
  <c r="Q31" i="2"/>
  <c r="S18" i="2"/>
  <c r="N46" i="2"/>
  <c r="F316" i="1"/>
  <c r="N56" i="2"/>
  <c r="S28" i="2"/>
  <c r="S29" i="2"/>
  <c r="N57" i="2"/>
  <c r="N44" i="2"/>
  <c r="S16" i="2"/>
  <c r="D302" i="1"/>
  <c r="F307" i="1"/>
  <c r="J304" i="1"/>
  <c r="H312" i="1"/>
  <c r="J308" i="1"/>
  <c r="H165" i="1"/>
  <c r="Q132" i="2"/>
  <c r="H318" i="1"/>
  <c r="N54" i="2"/>
  <c r="S26" i="2"/>
  <c r="H306" i="1"/>
  <c r="D304" i="1"/>
  <c r="D313" i="1"/>
  <c r="J316" i="1"/>
  <c r="P31" i="2"/>
  <c r="H308" i="1"/>
  <c r="F299" i="1"/>
  <c r="F311" i="1"/>
  <c r="S10" i="2"/>
  <c r="B298" i="1"/>
  <c r="N38" i="2"/>
  <c r="J314" i="1"/>
  <c r="J318" i="1"/>
  <c r="D305" i="1"/>
  <c r="F305" i="1"/>
  <c r="J302" i="1"/>
  <c r="H313" i="1"/>
  <c r="J315" i="1"/>
  <c r="F306" i="1"/>
  <c r="R31" i="2"/>
  <c r="J295" i="1"/>
  <c r="D298" i="1"/>
  <c r="H301" i="1"/>
  <c r="F310" i="1"/>
  <c r="J311" i="1"/>
  <c r="J307" i="1"/>
  <c r="F300" i="1"/>
  <c r="H314" i="1"/>
  <c r="J299" i="1"/>
  <c r="S22" i="2"/>
  <c r="N50" i="2"/>
  <c r="J297" i="1"/>
  <c r="D307" i="1"/>
  <c r="D303" i="1"/>
  <c r="J305" i="1"/>
  <c r="D316" i="1"/>
  <c r="D300" i="1"/>
  <c r="J313" i="1"/>
  <c r="N53" i="2"/>
  <c r="S25" i="2"/>
  <c r="H310" i="1"/>
  <c r="N55" i="2"/>
  <c r="S27" i="2"/>
  <c r="N40" i="2"/>
  <c r="S12" i="2"/>
  <c r="D299" i="1"/>
  <c r="S24" i="2"/>
  <c r="N52" i="2"/>
  <c r="H299" i="1"/>
  <c r="D308" i="1"/>
  <c r="H307" i="1"/>
  <c r="J300" i="1"/>
  <c r="H297" i="1"/>
  <c r="S7" i="2"/>
  <c r="N31" i="2"/>
  <c r="F309" i="1"/>
  <c r="D310" i="1"/>
  <c r="D309" i="1"/>
  <c r="F301" i="1"/>
  <c r="H309" i="1"/>
  <c r="J312" i="1"/>
  <c r="D312" i="1"/>
  <c r="F308" i="1"/>
  <c r="H300" i="1"/>
  <c r="B296" i="1"/>
  <c r="N36" i="2"/>
  <c r="S8" i="2"/>
  <c r="H316" i="1"/>
  <c r="E166" i="1"/>
  <c r="H166" i="1"/>
  <c r="Q133" i="2"/>
  <c r="F165" i="1"/>
  <c r="E167" i="1"/>
  <c r="N134" i="2"/>
  <c r="I167" i="1"/>
  <c r="R134" i="2"/>
  <c r="P131" i="2"/>
  <c r="P159" i="2"/>
  <c r="R131" i="2"/>
  <c r="R159" i="2"/>
  <c r="S134" i="2"/>
  <c r="S57" i="2"/>
  <c r="O159" i="2"/>
  <c r="O131" i="2"/>
  <c r="S35" i="2"/>
  <c r="N59" i="2"/>
  <c r="N60" i="2"/>
  <c r="S50" i="2"/>
  <c r="S40" i="2"/>
  <c r="Q131" i="2"/>
  <c r="Q159" i="2"/>
  <c r="S37" i="2"/>
  <c r="S133" i="2"/>
  <c r="S54" i="2"/>
  <c r="S46" i="2"/>
  <c r="Q59" i="2"/>
  <c r="Q60" i="2"/>
  <c r="F157" i="1"/>
  <c r="Q162" i="2"/>
  <c r="S49" i="2"/>
  <c r="S41" i="2"/>
  <c r="N131" i="2"/>
  <c r="S52" i="2"/>
  <c r="R59" i="2"/>
  <c r="R60" i="2"/>
  <c r="P59" i="2"/>
  <c r="P60" i="2"/>
  <c r="S132" i="2"/>
  <c r="S58" i="2"/>
  <c r="S43" i="2"/>
  <c r="S38" i="2"/>
  <c r="S42" i="2"/>
  <c r="S36" i="2"/>
  <c r="S31" i="2"/>
  <c r="S55" i="2"/>
  <c r="S53" i="2"/>
  <c r="S44" i="2"/>
  <c r="S56" i="2"/>
  <c r="S39" i="2"/>
  <c r="S48" i="2"/>
  <c r="N159" i="2"/>
  <c r="S45" i="2"/>
  <c r="S47" i="2"/>
  <c r="O59" i="2"/>
  <c r="O60" i="2"/>
  <c r="S51" i="2"/>
  <c r="R161" i="2"/>
  <c r="G157" i="1"/>
  <c r="R162" i="2"/>
  <c r="H17" i="3"/>
  <c r="Q164" i="2"/>
  <c r="Q161" i="2"/>
  <c r="N161" i="2"/>
  <c r="C157" i="1"/>
  <c r="S59" i="2"/>
  <c r="S60" i="2"/>
  <c r="S159" i="2"/>
  <c r="S131" i="2"/>
  <c r="O161" i="2"/>
  <c r="D157" i="1"/>
  <c r="O162" i="2"/>
  <c r="P161" i="2"/>
  <c r="E157" i="1"/>
  <c r="P162" i="2"/>
  <c r="Q165" i="2"/>
  <c r="F159" i="1"/>
  <c r="F158" i="1"/>
  <c r="G159" i="1"/>
  <c r="G158" i="1"/>
  <c r="M17" i="3"/>
  <c r="J17" i="3"/>
  <c r="K17" i="3"/>
  <c r="K18" i="3"/>
  <c r="M18" i="3"/>
  <c r="H20" i="3"/>
  <c r="R164" i="2"/>
  <c r="E159" i="1"/>
  <c r="E158" i="1"/>
  <c r="O164" i="2"/>
  <c r="O165" i="2"/>
  <c r="H9" i="3"/>
  <c r="D159" i="1"/>
  <c r="D158" i="1"/>
  <c r="H157" i="1"/>
  <c r="N162" i="2"/>
  <c r="P164" i="2"/>
  <c r="P165" i="2"/>
  <c r="H13" i="3"/>
  <c r="S161" i="2"/>
  <c r="C158" i="1"/>
  <c r="C159" i="1"/>
  <c r="H159" i="1"/>
  <c r="R165" i="2"/>
  <c r="M20" i="3"/>
  <c r="J20" i="3"/>
  <c r="K20" i="3"/>
  <c r="K13" i="3"/>
  <c r="M14" i="3"/>
  <c r="M13" i="3"/>
  <c r="H158" i="1"/>
  <c r="S162" i="2"/>
  <c r="N164" i="2"/>
  <c r="H5" i="3"/>
  <c r="H6" i="3"/>
  <c r="M9" i="3"/>
  <c r="K9" i="3"/>
  <c r="M10" i="3"/>
  <c r="J6" i="3"/>
  <c r="K21" i="3"/>
  <c r="M21" i="3"/>
  <c r="M5" i="3"/>
  <c r="K5" i="3"/>
  <c r="K6" i="3"/>
  <c r="L6" i="3"/>
  <c r="S164" i="2"/>
  <c r="S165" i="2"/>
  <c r="N165" i="2"/>
  <c r="K22" i="3"/>
  <c r="M22" i="3"/>
  <c r="M6" i="3"/>
</calcChain>
</file>

<file path=xl/comments1.xml><?xml version="1.0" encoding="utf-8"?>
<comments xmlns="http://schemas.openxmlformats.org/spreadsheetml/2006/main">
  <authors>
    <author>Alyssa Bunn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Used for escalation by person- choose "multi" in upper right above "total" line to activate.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Rate codes by title code available at: http://accounting.ucdavis.edu/costing/</t>
        </r>
      </text>
    </comment>
    <comment ref="D34" authorId="0">
      <text>
        <r>
          <rPr>
            <b/>
            <sz val="8"/>
            <color indexed="81"/>
            <rFont val="Cambria"/>
            <family val="1"/>
          </rPr>
          <t>Summer Salary Choices:
F-SMRA: 6/15-9/15 
F-SMRB: 7/1-9/15
F-SMRC: 7/1-9/1
Summer calculation based on effort; if % effort exceeds available summer, excess is calculated at highest rate for period.
?s- aabunn@ucadvis.edu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for  your reference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UC is always excluded from the IC Base- even when using TDC or TC.</t>
        </r>
      </text>
    </comment>
    <comment ref="D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choose if you are budgeting the provost's 25% discount and tuition and fees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AY escalates in September from today's date; PY escalates after year 1 each project period.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 xml:space="preserve">Base information will appear below if you choose "other" as the rate type. </t>
        </r>
      </text>
    </comment>
    <comment ref="A164" authorId="0">
      <text>
        <r>
          <rPr>
            <b/>
            <sz val="9"/>
            <color indexed="81"/>
            <rFont val="Tahoma"/>
            <family val="2"/>
          </rPr>
          <t xml:space="preserve">If Rate type is "other" and base type is "custom" unhide row 163 to create a custom base. </t>
        </r>
      </text>
    </comment>
    <comment ref="H16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If Rate type is "other" and base type is "custom" unhide row 163 to create a custom base.  </t>
        </r>
      </text>
    </comment>
  </commentList>
</comments>
</file>

<file path=xl/sharedStrings.xml><?xml version="1.0" encoding="utf-8"?>
<sst xmlns="http://schemas.openxmlformats.org/spreadsheetml/2006/main" count="415" uniqueCount="202">
  <si>
    <t>Project Information</t>
  </si>
  <si>
    <t>Start Date:</t>
  </si>
  <si>
    <t>End Date:</t>
  </si>
  <si>
    <t>Reference Information</t>
  </si>
  <si>
    <t>Personnel</t>
  </si>
  <si>
    <t>Total Salaries</t>
  </si>
  <si>
    <t>Code</t>
  </si>
  <si>
    <t>Total Benefits</t>
  </si>
  <si>
    <t>Project Title:</t>
  </si>
  <si>
    <t>PI(s):</t>
  </si>
  <si>
    <t>Year 1</t>
  </si>
  <si>
    <t>Year 2</t>
  </si>
  <si>
    <t>Year 3</t>
  </si>
  <si>
    <t>Year 5</t>
  </si>
  <si>
    <t>Total</t>
  </si>
  <si>
    <t>Type</t>
  </si>
  <si>
    <t>A</t>
  </si>
  <si>
    <t>B</t>
  </si>
  <si>
    <t>Benefits by Person</t>
  </si>
  <si>
    <t>%</t>
  </si>
  <si>
    <t>F</t>
  </si>
  <si>
    <t>D</t>
  </si>
  <si>
    <t>Total Personnel</t>
  </si>
  <si>
    <t>I</t>
  </si>
  <si>
    <t>Initial Fiscal Year:</t>
  </si>
  <si>
    <t>Year 4</t>
  </si>
  <si>
    <t>Project</t>
  </si>
  <si>
    <t>Months in Project Year:</t>
  </si>
  <si>
    <t>Months to fiscal Year:</t>
  </si>
  <si>
    <t>Remaining Months in PY:</t>
  </si>
  <si>
    <t>Current Fringe Rates</t>
  </si>
  <si>
    <t xml:space="preserve">C </t>
  </si>
  <si>
    <t>E</t>
  </si>
  <si>
    <t>G</t>
  </si>
  <si>
    <t>H</t>
  </si>
  <si>
    <t>14/15</t>
  </si>
  <si>
    <t>15/16</t>
  </si>
  <si>
    <t>17/18</t>
  </si>
  <si>
    <t>18/19</t>
  </si>
  <si>
    <t>19/20</t>
  </si>
  <si>
    <t>20/21</t>
  </si>
  <si>
    <t>21/22</t>
  </si>
  <si>
    <t>22/23</t>
  </si>
  <si>
    <t>23/24</t>
  </si>
  <si>
    <t>24/25</t>
  </si>
  <si>
    <t>16/17</t>
  </si>
  <si>
    <t>Project Fringe Rates</t>
  </si>
  <si>
    <t>Rate 1</t>
  </si>
  <si>
    <t>Rate 2</t>
  </si>
  <si>
    <t xml:space="preserve">Next Fiscal Year Date: </t>
  </si>
  <si>
    <t>Months at Rate 2:</t>
  </si>
  <si>
    <t>Months at Rate1:</t>
  </si>
  <si>
    <t>Shown Fringe Rates</t>
  </si>
  <si>
    <t>F-SMR</t>
  </si>
  <si>
    <t>Choose</t>
  </si>
  <si>
    <t>SMR Before FY:</t>
  </si>
  <si>
    <t>SMR After FY:</t>
  </si>
  <si>
    <t>Short Year Summer1:</t>
  </si>
  <si>
    <t>Short Year Summer2:</t>
  </si>
  <si>
    <t>Escalation:</t>
  </si>
  <si>
    <t>Todays Date</t>
  </si>
  <si>
    <t>Months till Next FY</t>
  </si>
  <si>
    <t>Current FY</t>
  </si>
  <si>
    <t>Next FY Date</t>
  </si>
  <si>
    <t>Months till start</t>
  </si>
  <si>
    <t># of fiscal years till start</t>
  </si>
  <si>
    <t>Split:</t>
  </si>
  <si>
    <t>% Annual Effort</t>
  </si>
  <si>
    <t>/12</t>
  </si>
  <si>
    <t>Reference Info</t>
  </si>
  <si>
    <t>Equipment</t>
  </si>
  <si>
    <t>Total Equipment</t>
  </si>
  <si>
    <t>Travel</t>
  </si>
  <si>
    <t>Total Travel</t>
  </si>
  <si>
    <t>Supplies</t>
  </si>
  <si>
    <t>Total Supplies</t>
  </si>
  <si>
    <t>Subaward Costs</t>
  </si>
  <si>
    <t>Total Subaward Costs</t>
  </si>
  <si>
    <t>UC/Non-UC</t>
  </si>
  <si>
    <t>Consultant/Service Agreement Costs</t>
  </si>
  <si>
    <t>Total Other Contractual Costs</t>
  </si>
  <si>
    <t>Total Subaward/Contractual Costs</t>
  </si>
  <si>
    <t>Other Expenses</t>
  </si>
  <si>
    <t>Resident</t>
  </si>
  <si>
    <t>Non-Resident</t>
  </si>
  <si>
    <t>Escal %</t>
  </si>
  <si>
    <t>Current $</t>
  </si>
  <si>
    <t>GSR Tuition/Fees</t>
  </si>
  <si>
    <t>Provost's Discount?</t>
  </si>
  <si>
    <t>Yr2</t>
  </si>
  <si>
    <t>Yr3</t>
  </si>
  <si>
    <t>Yr4</t>
  </si>
  <si>
    <t>Yr5</t>
  </si>
  <si>
    <t>Yr1</t>
  </si>
  <si>
    <t>Other (e.g.,filing status)</t>
  </si>
  <si>
    <t>Total GSR Tuition/Fees:</t>
  </si>
  <si>
    <t>Other Direct Costs exempt from Indirect costs</t>
  </si>
  <si>
    <t>Other Direct Costs Subject to Indirect Costs</t>
  </si>
  <si>
    <t>Total Other Direct Costs</t>
  </si>
  <si>
    <t>Total Direct Costs</t>
  </si>
  <si>
    <t>Indirect Cost Base</t>
  </si>
  <si>
    <t>Indirect Costs</t>
  </si>
  <si>
    <t>Total Costs (Direct + Indirect)</t>
  </si>
  <si>
    <t>Rate Type:</t>
  </si>
  <si>
    <t>Indirect Rates</t>
  </si>
  <si>
    <t>On-Campus Research</t>
  </si>
  <si>
    <t>Off-Campus Research</t>
  </si>
  <si>
    <t>On-Campus Other Sponsored Activities</t>
  </si>
  <si>
    <t>Off-Campus Other Sponsored Activities</t>
  </si>
  <si>
    <t>Instruction</t>
  </si>
  <si>
    <t>Primate Center Federal</t>
  </si>
  <si>
    <t>Primate Center Non-Federal</t>
  </si>
  <si>
    <t>Other:</t>
  </si>
  <si>
    <t>Current Indirect Cost Rates</t>
  </si>
  <si>
    <t>Base Type:</t>
  </si>
  <si>
    <t>MTDC</t>
  </si>
  <si>
    <r>
      <t xml:space="preserve">Other: </t>
    </r>
    <r>
      <rPr>
        <sz val="11"/>
        <color rgb="FFFF0000"/>
        <rFont val="Cambria"/>
        <family val="1"/>
      </rPr>
      <t>(Enter Info Below)</t>
    </r>
  </si>
  <si>
    <t>Rate (%):</t>
  </si>
  <si>
    <t>Custom Indirect Cost Base</t>
  </si>
  <si>
    <t xml:space="preserve">Create a Custom base formula: </t>
  </si>
  <si>
    <t>Next Academic Year:</t>
  </si>
  <si>
    <t>Months till Next AY</t>
  </si>
  <si>
    <t>Months till Start</t>
  </si>
  <si>
    <t># of AY till Start</t>
  </si>
  <si>
    <t>Rates Used</t>
  </si>
  <si>
    <t>Rates as Shown</t>
  </si>
  <si>
    <t>Subaward Totals</t>
  </si>
  <si>
    <t>UC?</t>
  </si>
  <si>
    <t>UC</t>
  </si>
  <si>
    <t>Non-UC</t>
  </si>
  <si>
    <t>Total:</t>
  </si>
  <si>
    <t>Subaward Subject to Indirect MTDC</t>
  </si>
  <si>
    <t>Subaward Subject to Indirect TC/TDC</t>
  </si>
  <si>
    <t>TDC</t>
  </si>
  <si>
    <t>TC</t>
  </si>
  <si>
    <t>Type:</t>
  </si>
  <si>
    <t>Academic months 1:</t>
  </si>
  <si>
    <t>Academic months 2:</t>
  </si>
  <si>
    <t>AY1 with Short Years:</t>
  </si>
  <si>
    <t>AY2 with Short Years:</t>
  </si>
  <si>
    <t>Tuition and Fee Split2 (AY)</t>
  </si>
  <si>
    <t>Tuition and Fee Split1(AY)</t>
  </si>
  <si>
    <t>Graduate Student Fee Escalations</t>
  </si>
  <si>
    <t>Discount</t>
  </si>
  <si>
    <t>Rate 3</t>
  </si>
  <si>
    <t>Rate 4</t>
  </si>
  <si>
    <t>Rate 5</t>
  </si>
  <si>
    <t>Rate 6</t>
  </si>
  <si>
    <t>Faculty Summer Salary-Shown</t>
  </si>
  <si>
    <t>Faculty Summer Salary-Rate Split</t>
  </si>
  <si>
    <t>Faculty Summer Rates</t>
  </si>
  <si>
    <t>Fringe Shown for Faculty Summer</t>
  </si>
  <si>
    <t>Faculty Summer $</t>
  </si>
  <si>
    <t>AY</t>
  </si>
  <si>
    <t>Indirect Cost Split for Sponsor Forms</t>
  </si>
  <si>
    <t>Project Year</t>
  </si>
  <si>
    <t>IC Start Dates</t>
  </si>
  <si>
    <t>IC End Dates</t>
  </si>
  <si>
    <t>Base</t>
  </si>
  <si>
    <t>Rate</t>
  </si>
  <si>
    <t>F&amp;A</t>
  </si>
  <si>
    <t>Basis</t>
  </si>
  <si>
    <t>Check</t>
  </si>
  <si>
    <t>Initial Rate</t>
  </si>
  <si>
    <t>Secondary Rate</t>
  </si>
  <si>
    <t>Primate Center Rate</t>
  </si>
  <si>
    <t>Total F&amp;A:</t>
  </si>
  <si>
    <t>Escal</t>
  </si>
  <si>
    <t>Period 1</t>
  </si>
  <si>
    <t>Period 2</t>
  </si>
  <si>
    <t>Period 3</t>
  </si>
  <si>
    <t>Period 5</t>
  </si>
  <si>
    <t>Base 
Salary</t>
  </si>
  <si>
    <t>Name/Role:</t>
  </si>
  <si>
    <t>Period 4</t>
  </si>
  <si>
    <t>International?</t>
  </si>
  <si>
    <t>Primate Center Costs (If using F&amp;A Rate Agreement Rates)</t>
  </si>
  <si>
    <t>No</t>
  </si>
  <si>
    <t>F-SMRA</t>
  </si>
  <si>
    <t>F-SMRB</t>
  </si>
  <si>
    <t>F-SMRC</t>
  </si>
  <si>
    <t>Faculty Summer Available Months</t>
  </si>
  <si>
    <t>R1</t>
  </si>
  <si>
    <t>R2</t>
  </si>
  <si>
    <t>R1 Short:</t>
  </si>
  <si>
    <t>R2: Short</t>
  </si>
  <si>
    <t>R1: Short</t>
  </si>
  <si>
    <t>FY</t>
  </si>
  <si>
    <t>Yes</t>
  </si>
  <si>
    <t>Non-Federal</t>
  </si>
  <si>
    <t>R. Grotjahn (PI)</t>
  </si>
  <si>
    <t>P. Ullrich (co-PI)</t>
  </si>
  <si>
    <t>TBN (GSR IV)</t>
  </si>
  <si>
    <t>50 TB external harddrives for storing modeling data generated for this project</t>
  </si>
  <si>
    <t>Ullrich, Grotjahn</t>
  </si>
  <si>
    <t>TempestExtremes: Indicators of change in the characteristics of extreme weather</t>
  </si>
  <si>
    <t>Int'l Assoc. of Meteorology and Atmospheric Sciences (IAMAS) Cape Town South Africa conference</t>
  </si>
  <si>
    <t>American Geophysical Union (AGU) fall meeting San Francisco</t>
  </si>
  <si>
    <t>American Meteorological society (AMS) climate Variations conference</t>
  </si>
  <si>
    <t>Colin Zarzycki (National Center for Atmospheric Research)</t>
  </si>
  <si>
    <t xml:space="preserve"> </t>
  </si>
  <si>
    <t>Publication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</si>
</sst>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00"/>
    <numFmt numFmtId="169" formatCode="&quot;$&quot;#,##0"/>
    <numFmt numFmtId="170" formatCode="_(* #,##0.000_);_(* \(#,##0.000\);_(* &quot;-&quot;??_);_(@_)"/>
    <numFmt numFmtId="171" formatCode="0.0%"/>
    <numFmt numFmtId="172" formatCode="_(* #,##0.0000_);_(* \(#,##0.00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0"/>
      <name val="Arial"/>
      <family val="2"/>
    </font>
    <font>
      <b/>
      <sz val="9"/>
      <color theme="1"/>
      <name val="Cambria"/>
      <family val="1"/>
    </font>
    <font>
      <b/>
      <i/>
      <sz val="9"/>
      <color theme="1"/>
      <name val="Cambria"/>
      <family val="1"/>
    </font>
    <font>
      <b/>
      <sz val="9"/>
      <name val="Cambria"/>
      <family val="1"/>
    </font>
    <font>
      <sz val="11"/>
      <color rgb="FFFF0000"/>
      <name val="Cambria"/>
      <family val="1"/>
    </font>
    <font>
      <sz val="9"/>
      <color theme="1"/>
      <name val="Cambria"/>
      <family val="1"/>
    </font>
    <font>
      <sz val="9"/>
      <color theme="0"/>
      <name val="Cambria"/>
      <family val="1"/>
    </font>
    <font>
      <b/>
      <sz val="9"/>
      <color rgb="FFC00000"/>
      <name val="Cambria"/>
      <family val="1"/>
    </font>
    <font>
      <b/>
      <i/>
      <sz val="9"/>
      <name val="Cambria"/>
      <family val="1"/>
    </font>
    <font>
      <sz val="9"/>
      <name val="Cambria"/>
      <family val="1"/>
    </font>
    <font>
      <i/>
      <sz val="9"/>
      <color theme="1"/>
      <name val="Cambria"/>
      <family val="1"/>
    </font>
    <font>
      <b/>
      <sz val="9"/>
      <color rgb="FFFF0000"/>
      <name val="Cambria"/>
      <family val="1"/>
    </font>
    <font>
      <b/>
      <sz val="11"/>
      <color theme="5"/>
      <name val="Cambria"/>
      <family val="1"/>
    </font>
    <font>
      <i/>
      <sz val="11"/>
      <color theme="1"/>
      <name val="Cambria"/>
      <family val="1"/>
    </font>
    <font>
      <sz val="10"/>
      <name val="Arial"/>
      <family val="2"/>
    </font>
    <font>
      <sz val="10"/>
      <name val="MS Sans Serif"/>
      <family val="2"/>
    </font>
    <font>
      <b/>
      <sz val="10"/>
      <name val="Cambria"/>
      <family val="1"/>
    </font>
    <font>
      <sz val="8"/>
      <color rgb="FFFF0000"/>
      <name val="Cambria"/>
      <family val="1"/>
    </font>
    <font>
      <b/>
      <sz val="9"/>
      <color indexed="81"/>
      <name val="Tahoma"/>
      <family val="2"/>
    </font>
    <font>
      <b/>
      <sz val="8"/>
      <color theme="1"/>
      <name val="Cambria"/>
      <family val="1"/>
    </font>
    <font>
      <sz val="9"/>
      <color indexed="81"/>
      <name val="Tahoma"/>
      <family val="2"/>
    </font>
    <font>
      <b/>
      <sz val="11"/>
      <color theme="5" tint="-0.249977111117893"/>
      <name val="Cambria"/>
      <family val="1"/>
    </font>
    <font>
      <b/>
      <sz val="8"/>
      <color indexed="81"/>
      <name val="Tahoma"/>
      <family val="2"/>
    </font>
    <font>
      <b/>
      <sz val="8"/>
      <color indexed="8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2" fillId="2" borderId="4" xfId="0" applyFont="1" applyFill="1" applyBorder="1"/>
    <xf numFmtId="1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5" fontId="2" fillId="2" borderId="4" xfId="1" applyFont="1" applyFill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2" fontId="2" fillId="2" borderId="0" xfId="0" applyNumberFormat="1" applyFont="1" applyFill="1"/>
    <xf numFmtId="14" fontId="2" fillId="2" borderId="0" xfId="0" applyNumberFormat="1" applyFont="1" applyFill="1" applyBorder="1" applyAlignment="1">
      <alignment horizontal="right"/>
    </xf>
    <xf numFmtId="165" fontId="2" fillId="2" borderId="4" xfId="0" applyNumberFormat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7" fontId="2" fillId="2" borderId="4" xfId="1" applyNumberFormat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1" applyNumberFormat="1" applyFont="1" applyFill="1"/>
    <xf numFmtId="0" fontId="2" fillId="2" borderId="4" xfId="0" applyFont="1" applyFill="1" applyBorder="1" applyAlignment="1">
      <alignment horizontal="center"/>
    </xf>
    <xf numFmtId="168" fontId="2" fillId="2" borderId="4" xfId="0" applyNumberFormat="1" applyFont="1" applyFill="1" applyBorder="1"/>
    <xf numFmtId="165" fontId="2" fillId="2" borderId="4" xfId="1" applyFont="1" applyFill="1" applyBorder="1" applyAlignment="1">
      <alignment horizontal="right" wrapText="1"/>
    </xf>
    <xf numFmtId="165" fontId="2" fillId="2" borderId="0" xfId="1" applyFont="1" applyFill="1" applyBorder="1"/>
    <xf numFmtId="0" fontId="2" fillId="2" borderId="0" xfId="0" applyFont="1" applyFill="1" applyBorder="1"/>
    <xf numFmtId="16" fontId="2" fillId="2" borderId="0" xfId="0" applyNumberFormat="1" applyFont="1" applyFill="1" applyBorder="1"/>
    <xf numFmtId="165" fontId="2" fillId="2" borderId="0" xfId="0" applyNumberFormat="1" applyFont="1" applyFill="1" applyBorder="1"/>
    <xf numFmtId="0" fontId="6" fillId="3" borderId="4" xfId="0" quotePrefix="1" applyFont="1" applyFill="1" applyBorder="1" applyAlignment="1">
      <alignment horizontal="center"/>
    </xf>
    <xf numFmtId="0" fontId="6" fillId="3" borderId="4" xfId="0" applyFont="1" applyFill="1" applyBorder="1"/>
    <xf numFmtId="9" fontId="2" fillId="2" borderId="4" xfId="0" applyNumberFormat="1" applyFont="1" applyFill="1" applyBorder="1"/>
    <xf numFmtId="165" fontId="2" fillId="2" borderId="0" xfId="1" applyFont="1" applyFill="1" applyBorder="1" applyAlignment="1">
      <alignment horizontal="right"/>
    </xf>
    <xf numFmtId="14" fontId="2" fillId="2" borderId="9" xfId="0" applyNumberFormat="1" applyFont="1" applyFill="1" applyBorder="1" applyAlignment="1">
      <alignment horizontal="right"/>
    </xf>
    <xf numFmtId="14" fontId="2" fillId="2" borderId="15" xfId="0" applyNumberFormat="1" applyFont="1" applyFill="1" applyBorder="1" applyAlignment="1">
      <alignment horizontal="right"/>
    </xf>
    <xf numFmtId="14" fontId="2" fillId="2" borderId="7" xfId="0" applyNumberFormat="1" applyFont="1" applyFill="1" applyBorder="1" applyAlignment="1">
      <alignment horizontal="right"/>
    </xf>
    <xf numFmtId="14" fontId="2" fillId="2" borderId="11" xfId="0" applyNumberFormat="1" applyFont="1" applyFill="1" applyBorder="1" applyAlignment="1">
      <alignment horizontal="right"/>
    </xf>
    <xf numFmtId="14" fontId="2" fillId="2" borderId="12" xfId="0" applyNumberFormat="1" applyFont="1" applyFill="1" applyBorder="1" applyAlignment="1">
      <alignment horizontal="right"/>
    </xf>
    <xf numFmtId="14" fontId="2" fillId="2" borderId="13" xfId="0" applyNumberFormat="1" applyFont="1" applyFill="1" applyBorder="1" applyAlignment="1">
      <alignment horizontal="right"/>
    </xf>
    <xf numFmtId="14" fontId="2" fillId="2" borderId="6" xfId="0" applyNumberFormat="1" applyFont="1" applyFill="1" applyBorder="1" applyAlignment="1">
      <alignment horizontal="right"/>
    </xf>
    <xf numFmtId="14" fontId="2" fillId="2" borderId="10" xfId="0" applyNumberFormat="1" applyFont="1" applyFill="1" applyBorder="1" applyAlignment="1">
      <alignment horizontal="right"/>
    </xf>
    <xf numFmtId="165" fontId="2" fillId="2" borderId="8" xfId="1" applyFont="1" applyFill="1" applyBorder="1" applyAlignment="1">
      <alignment horizontal="right"/>
    </xf>
    <xf numFmtId="9" fontId="2" fillId="2" borderId="4" xfId="2" applyFont="1" applyFill="1" applyBorder="1"/>
    <xf numFmtId="9" fontId="2" fillId="2" borderId="0" xfId="2" applyFont="1" applyFill="1"/>
    <xf numFmtId="0" fontId="10" fillId="2" borderId="0" xfId="0" applyFont="1" applyFill="1"/>
    <xf numFmtId="0" fontId="2" fillId="2" borderId="4" xfId="0" applyFont="1" applyFill="1" applyBorder="1" applyAlignment="1">
      <alignment horizontal="left"/>
    </xf>
    <xf numFmtId="166" fontId="2" fillId="2" borderId="4" xfId="1" applyNumberFormat="1" applyFont="1" applyFill="1" applyBorder="1"/>
    <xf numFmtId="0" fontId="8" fillId="3" borderId="5" xfId="0" applyFont="1" applyFill="1" applyBorder="1" applyAlignment="1">
      <alignment horizontal="center"/>
    </xf>
    <xf numFmtId="166" fontId="2" fillId="2" borderId="4" xfId="0" applyNumberFormat="1" applyFont="1" applyFill="1" applyBorder="1"/>
    <xf numFmtId="0" fontId="3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0" fontId="2" fillId="2" borderId="8" xfId="0" applyFont="1" applyFill="1" applyBorder="1"/>
    <xf numFmtId="0" fontId="2" fillId="2" borderId="14" xfId="0" applyFont="1" applyFill="1" applyBorder="1"/>
    <xf numFmtId="0" fontId="2" fillId="2" borderId="5" xfId="0" applyFont="1" applyFill="1" applyBorder="1"/>
    <xf numFmtId="14" fontId="12" fillId="2" borderId="4" xfId="0" applyNumberFormat="1" applyFont="1" applyFill="1" applyBorder="1"/>
    <xf numFmtId="0" fontId="6" fillId="2" borderId="4" xfId="0" applyFont="1" applyFill="1" applyBorder="1" applyAlignment="1">
      <alignment horizontal="center"/>
    </xf>
    <xf numFmtId="14" fontId="10" fillId="2" borderId="0" xfId="0" applyNumberFormat="1" applyFont="1" applyFill="1"/>
    <xf numFmtId="0" fontId="10" fillId="4" borderId="2" xfId="0" applyFont="1" applyFill="1" applyBorder="1"/>
    <xf numFmtId="0" fontId="10" fillId="4" borderId="1" xfId="0" applyFont="1" applyFill="1" applyBorder="1"/>
    <xf numFmtId="0" fontId="6" fillId="3" borderId="6" xfId="0" applyFont="1" applyFill="1" applyBorder="1" applyAlignment="1"/>
    <xf numFmtId="0" fontId="6" fillId="4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165" fontId="10" fillId="2" borderId="0" xfId="0" applyNumberFormat="1" applyFont="1" applyFill="1"/>
    <xf numFmtId="0" fontId="10" fillId="2" borderId="4" xfId="0" applyFont="1" applyFill="1" applyBorder="1"/>
    <xf numFmtId="166" fontId="10" fillId="2" borderId="0" xfId="0" applyNumberFormat="1" applyFont="1" applyFill="1"/>
    <xf numFmtId="0" fontId="6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6" fontId="6" fillId="2" borderId="0" xfId="1" applyNumberFormat="1" applyFont="1" applyFill="1" applyBorder="1"/>
    <xf numFmtId="165" fontId="10" fillId="2" borderId="0" xfId="1" applyFont="1" applyFill="1"/>
    <xf numFmtId="0" fontId="14" fillId="4" borderId="2" xfId="0" applyFont="1" applyFill="1" applyBorder="1"/>
    <xf numFmtId="0" fontId="14" fillId="4" borderId="4" xfId="0" applyFont="1" applyFill="1" applyBorder="1"/>
    <xf numFmtId="0" fontId="10" fillId="2" borderId="2" xfId="0" applyFont="1" applyFill="1" applyBorder="1"/>
    <xf numFmtId="0" fontId="14" fillId="4" borderId="1" xfId="0" applyFont="1" applyFill="1" applyBorder="1"/>
    <xf numFmtId="0" fontId="14" fillId="4" borderId="3" xfId="0" applyFont="1" applyFill="1" applyBorder="1"/>
    <xf numFmtId="0" fontId="10" fillId="4" borderId="3" xfId="0" applyFont="1" applyFill="1" applyBorder="1"/>
    <xf numFmtId="0" fontId="7" fillId="4" borderId="1" xfId="0" applyFont="1" applyFill="1" applyBorder="1"/>
    <xf numFmtId="0" fontId="10" fillId="4" borderId="2" xfId="0" applyFont="1" applyFill="1" applyBorder="1" applyAlignment="1"/>
    <xf numFmtId="0" fontId="10" fillId="2" borderId="1" xfId="0" applyFont="1" applyFill="1" applyBorder="1"/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15" xfId="0" applyFont="1" applyFill="1" applyBorder="1"/>
    <xf numFmtId="3" fontId="6" fillId="4" borderId="4" xfId="0" applyNumberFormat="1" applyFont="1" applyFill="1" applyBorder="1"/>
    <xf numFmtId="0" fontId="7" fillId="2" borderId="1" xfId="0" applyFont="1" applyFill="1" applyBorder="1"/>
    <xf numFmtId="37" fontId="10" fillId="2" borderId="4" xfId="1" applyNumberFormat="1" applyFont="1" applyFill="1" applyBorder="1"/>
    <xf numFmtId="0" fontId="10" fillId="2" borderId="0" xfId="0" applyFont="1" applyFill="1" applyBorder="1" applyAlignment="1">
      <alignment horizontal="left"/>
    </xf>
    <xf numFmtId="0" fontId="10" fillId="2" borderId="6" xfId="0" applyFont="1" applyFill="1" applyBorder="1"/>
    <xf numFmtId="37" fontId="15" fillId="2" borderId="3" xfId="0" applyNumberFormat="1" applyFont="1" applyFill="1" applyBorder="1"/>
    <xf numFmtId="0" fontId="10" fillId="4" borderId="6" xfId="0" applyFont="1" applyFill="1" applyBorder="1"/>
    <xf numFmtId="0" fontId="10" fillId="4" borderId="10" xfId="0" applyFont="1" applyFill="1" applyBorder="1"/>
    <xf numFmtId="169" fontId="6" fillId="4" borderId="4" xfId="4" applyNumberFormat="1" applyFont="1" applyFill="1" applyBorder="1"/>
    <xf numFmtId="0" fontId="2" fillId="2" borderId="0" xfId="0" applyFont="1" applyFill="1" applyBorder="1" applyAlignment="1">
      <alignment horizontal="right"/>
    </xf>
    <xf numFmtId="165" fontId="2" fillId="2" borderId="4" xfId="1" applyFont="1" applyFill="1" applyBorder="1"/>
    <xf numFmtId="0" fontId="8" fillId="4" borderId="2" xfId="0" applyFont="1" applyFill="1" applyBorder="1"/>
    <xf numFmtId="0" fontId="17" fillId="2" borderId="4" xfId="0" applyFont="1" applyFill="1" applyBorder="1" applyAlignment="1">
      <alignment horizontal="right"/>
    </xf>
    <xf numFmtId="14" fontId="17" fillId="2" borderId="4" xfId="0" applyNumberFormat="1" applyFont="1" applyFill="1" applyBorder="1" applyAlignment="1">
      <alignment horizontal="right"/>
    </xf>
    <xf numFmtId="165" fontId="17" fillId="2" borderId="4" xfId="1" applyFont="1" applyFill="1" applyBorder="1" applyAlignment="1">
      <alignment horizontal="right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7" fontId="2" fillId="2" borderId="0" xfId="0" applyNumberFormat="1" applyFont="1" applyFill="1"/>
    <xf numFmtId="0" fontId="2" fillId="2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18" fillId="2" borderId="4" xfId="0" applyFont="1" applyFill="1" applyBorder="1"/>
    <xf numFmtId="170" fontId="3" fillId="2" borderId="4" xfId="1" applyNumberFormat="1" applyFont="1" applyFill="1" applyBorder="1" applyAlignment="1"/>
    <xf numFmtId="0" fontId="13" fillId="4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/>
    </xf>
    <xf numFmtId="9" fontId="10" fillId="2" borderId="4" xfId="2" applyNumberFormat="1" applyFont="1" applyFill="1" applyBorder="1"/>
    <xf numFmtId="0" fontId="22" fillId="2" borderId="2" xfId="6" applyFont="1" applyFill="1" applyBorder="1" applyAlignment="1" applyProtection="1">
      <alignment wrapText="1"/>
      <protection locked="0"/>
    </xf>
    <xf numFmtId="0" fontId="22" fillId="2" borderId="3" xfId="6" applyFont="1" applyFill="1" applyBorder="1" applyAlignment="1" applyProtection="1">
      <alignment wrapText="1"/>
      <protection locked="0"/>
    </xf>
    <xf numFmtId="0" fontId="21" fillId="2" borderId="9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Protection="1"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center" vertical="top" wrapText="1"/>
      <protection locked="0"/>
    </xf>
    <xf numFmtId="0" fontId="21" fillId="3" borderId="3" xfId="6" applyFont="1" applyFill="1" applyBorder="1" applyAlignment="1" applyProtection="1">
      <alignment horizontal="center" vertical="top" wrapText="1"/>
      <protection locked="0"/>
    </xf>
    <xf numFmtId="0" fontId="21" fillId="3" borderId="7" xfId="6" applyFont="1" applyFill="1" applyBorder="1" applyAlignment="1" applyProtection="1">
      <alignment vertical="top" wrapText="1"/>
      <protection locked="0"/>
    </xf>
    <xf numFmtId="0" fontId="14" fillId="2" borderId="11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0" xfId="7" applyNumberFormat="1" applyFont="1" applyFill="1" applyBorder="1" applyAlignment="1" applyProtection="1">
      <alignment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/>
      <protection locked="0"/>
    </xf>
    <xf numFmtId="165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2" borderId="13" xfId="6" applyFont="1" applyFill="1" applyBorder="1" applyAlignment="1" applyProtection="1">
      <alignment vertical="top" wrapText="1"/>
      <protection locked="0"/>
    </xf>
    <xf numFmtId="0" fontId="14" fillId="2" borderId="6" xfId="6" applyFont="1" applyFill="1" applyBorder="1" applyAlignment="1" applyProtection="1">
      <alignment horizontal="center" vertical="top" wrapText="1"/>
      <protection locked="0"/>
    </xf>
    <xf numFmtId="14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6" xfId="7" applyNumberFormat="1" applyFont="1" applyFill="1" applyBorder="1" applyAlignment="1" applyProtection="1">
      <alignment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/>
      <protection locked="0"/>
    </xf>
    <xf numFmtId="165" fontId="14" fillId="3" borderId="10" xfId="6" applyNumberFormat="1" applyFont="1" applyFill="1" applyBorder="1" applyAlignment="1" applyProtection="1">
      <alignment vertical="top" wrapText="1"/>
      <protection locked="0"/>
    </xf>
    <xf numFmtId="0" fontId="21" fillId="2" borderId="11" xfId="6" applyFont="1" applyFill="1" applyBorder="1" applyAlignment="1" applyProtection="1">
      <protection locked="0"/>
    </xf>
    <xf numFmtId="0" fontId="14" fillId="2" borderId="0" xfId="6" applyFont="1" applyFill="1" applyBorder="1" applyAlignment="1" applyProtection="1">
      <alignment horizontal="center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protection locked="0"/>
    </xf>
    <xf numFmtId="0" fontId="14" fillId="3" borderId="12" xfId="6" applyFont="1" applyFill="1" applyBorder="1" applyAlignment="1" applyProtection="1">
      <protection locked="0"/>
    </xf>
    <xf numFmtId="14" fontId="14" fillId="2" borderId="0" xfId="6" applyNumberFormat="1" applyFont="1" applyFill="1" applyBorder="1" applyAlignment="1" applyProtection="1">
      <alignment horizontal="center"/>
      <protection locked="0"/>
    </xf>
    <xf numFmtId="0" fontId="14" fillId="2" borderId="11" xfId="6" applyFont="1" applyFill="1" applyBorder="1" applyAlignment="1" applyProtection="1">
      <protection locked="0"/>
    </xf>
    <xf numFmtId="9" fontId="14" fillId="2" borderId="0" xfId="7" applyFont="1" applyFill="1" applyBorder="1" applyAlignment="1" applyProtection="1">
      <protection locked="0"/>
    </xf>
    <xf numFmtId="0" fontId="14" fillId="2" borderId="13" xfId="6" applyFont="1" applyFill="1" applyBorder="1" applyAlignment="1" applyProtection="1">
      <protection locked="0"/>
    </xf>
    <xf numFmtId="0" fontId="14" fillId="2" borderId="6" xfId="6" applyFont="1" applyFill="1" applyBorder="1" applyAlignment="1" applyProtection="1">
      <alignment horizontal="center"/>
      <protection locked="0"/>
    </xf>
    <xf numFmtId="14" fontId="14" fillId="2" borderId="6" xfId="6" applyNumberFormat="1" applyFont="1" applyFill="1" applyBorder="1" applyAlignment="1" applyProtection="1">
      <alignment horizontal="center"/>
      <protection locked="0"/>
    </xf>
    <xf numFmtId="171" fontId="14" fillId="2" borderId="6" xfId="6" applyNumberFormat="1" applyFont="1" applyFill="1" applyBorder="1" applyAlignment="1" applyProtection="1">
      <protection locked="0"/>
    </xf>
    <xf numFmtId="0" fontId="14" fillId="3" borderId="10" xfId="6" applyFont="1" applyFill="1" applyBorder="1" applyAlignment="1" applyProtection="1">
      <protection locked="0"/>
    </xf>
    <xf numFmtId="9" fontId="14" fillId="2" borderId="0" xfId="6" applyNumberFormat="1" applyFont="1" applyFill="1" applyBorder="1" applyAlignment="1" applyProtection="1">
      <protection locked="0"/>
    </xf>
    <xf numFmtId="166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3" borderId="3" xfId="0" applyFont="1" applyFill="1" applyBorder="1"/>
    <xf numFmtId="14" fontId="2" fillId="2" borderId="0" xfId="0" applyNumberFormat="1" applyFont="1" applyFill="1"/>
    <xf numFmtId="14" fontId="2" fillId="2" borderId="0" xfId="1" applyNumberFormat="1" applyFont="1" applyFill="1"/>
    <xf numFmtId="0" fontId="14" fillId="2" borderId="0" xfId="6" applyFont="1" applyFill="1" applyBorder="1" applyAlignment="1" applyProtection="1">
      <alignment horizontal="right" vertical="top" wrapText="1"/>
      <protection locked="0"/>
    </xf>
    <xf numFmtId="171" fontId="14" fillId="2" borderId="0" xfId="6" applyNumberFormat="1" applyFont="1" applyFill="1" applyBorder="1" applyAlignment="1" applyProtection="1">
      <protection locked="0"/>
    </xf>
    <xf numFmtId="166" fontId="8" fillId="2" borderId="2" xfId="0" applyNumberFormat="1" applyFont="1" applyFill="1" applyBorder="1" applyAlignment="1"/>
    <xf numFmtId="166" fontId="8" fillId="2" borderId="2" xfId="6" applyNumberFormat="1" applyFont="1" applyFill="1" applyBorder="1" applyAlignment="1" applyProtection="1">
      <alignment horizontal="center"/>
      <protection locked="0"/>
    </xf>
    <xf numFmtId="37" fontId="10" fillId="2" borderId="4" xfId="0" applyNumberFormat="1" applyFont="1" applyFill="1" applyBorder="1"/>
    <xf numFmtId="3" fontId="10" fillId="2" borderId="4" xfId="0" applyNumberFormat="1" applyFont="1" applyFill="1" applyBorder="1"/>
    <xf numFmtId="3" fontId="14" fillId="4" borderId="4" xfId="0" applyNumberFormat="1" applyFont="1" applyFill="1" applyBorder="1"/>
    <xf numFmtId="37" fontId="8" fillId="4" borderId="4" xfId="0" applyNumberFormat="1" applyFont="1" applyFill="1" applyBorder="1"/>
    <xf numFmtId="3" fontId="10" fillId="2" borderId="4" xfId="1" applyNumberFormat="1" applyFont="1" applyFill="1" applyBorder="1"/>
    <xf numFmtId="3" fontId="8" fillId="4" borderId="4" xfId="0" applyNumberFormat="1" applyFont="1" applyFill="1" applyBorder="1"/>
    <xf numFmtId="37" fontId="6" fillId="3" borderId="4" xfId="1" applyNumberFormat="1" applyFont="1" applyFill="1" applyBorder="1"/>
    <xf numFmtId="37" fontId="6" fillId="4" borderId="4" xfId="1" applyNumberFormat="1" applyFont="1" applyFill="1" applyBorder="1"/>
    <xf numFmtId="166" fontId="14" fillId="2" borderId="0" xfId="6" applyNumberFormat="1" applyFont="1" applyFill="1" applyBorder="1" applyAlignment="1" applyProtection="1">
      <alignment horizontal="right" vertical="top" wrapText="1"/>
      <protection locked="0"/>
    </xf>
    <xf numFmtId="166" fontId="14" fillId="2" borderId="6" xfId="3" applyNumberFormat="1" applyFont="1" applyFill="1" applyBorder="1" applyAlignment="1" applyProtection="1">
      <alignment horizontal="right"/>
      <protection locked="0"/>
    </xf>
    <xf numFmtId="0" fontId="10" fillId="2" borderId="11" xfId="0" applyFont="1" applyFill="1" applyBorder="1"/>
    <xf numFmtId="0" fontId="6" fillId="2" borderId="11" xfId="0" applyFont="1" applyFill="1" applyBorder="1" applyAlignment="1">
      <alignment horizontal="left"/>
    </xf>
    <xf numFmtId="9" fontId="11" fillId="2" borderId="3" xfId="0" applyNumberFormat="1" applyFont="1" applyFill="1" applyBorder="1"/>
    <xf numFmtId="0" fontId="10" fillId="2" borderId="9" xfId="0" applyFont="1" applyFill="1" applyBorder="1"/>
    <xf numFmtId="0" fontId="13" fillId="4" borderId="1" xfId="0" applyFont="1" applyFill="1" applyBorder="1"/>
    <xf numFmtId="0" fontId="6" fillId="4" borderId="1" xfId="0" applyFont="1" applyFill="1" applyBorder="1"/>
    <xf numFmtId="0" fontId="7" fillId="2" borderId="11" xfId="0" applyFont="1" applyFill="1" applyBorder="1"/>
    <xf numFmtId="0" fontId="7" fillId="2" borderId="13" xfId="0" applyFont="1" applyFill="1" applyBorder="1"/>
    <xf numFmtId="0" fontId="8" fillId="3" borderId="3" xfId="0" applyFont="1" applyFill="1" applyBorder="1" applyAlignment="1"/>
    <xf numFmtId="37" fontId="7" fillId="3" borderId="4" xfId="1" applyNumberFormat="1" applyFont="1" applyFill="1" applyBorder="1"/>
    <xf numFmtId="3" fontId="6" fillId="4" borderId="4" xfId="1" applyNumberFormat="1" applyFont="1" applyFill="1" applyBorder="1"/>
    <xf numFmtId="37" fontId="14" fillId="4" borderId="4" xfId="0" applyNumberFormat="1" applyFont="1" applyFill="1" applyBorder="1"/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6" fillId="3" borderId="13" xfId="0" applyFont="1" applyFill="1" applyBorder="1" applyAlignment="1"/>
    <xf numFmtId="166" fontId="10" fillId="2" borderId="1" xfId="1" applyNumberFormat="1" applyFont="1" applyFill="1" applyBorder="1" applyAlignment="1"/>
    <xf numFmtId="0" fontId="16" fillId="2" borderId="6" xfId="0" applyFont="1" applyFill="1" applyBorder="1" applyAlignment="1"/>
    <xf numFmtId="0" fontId="7" fillId="2" borderId="4" xfId="0" applyFont="1" applyFill="1" applyBorder="1" applyAlignment="1">
      <alignment horizontal="right"/>
    </xf>
    <xf numFmtId="0" fontId="24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center" wrapText="1"/>
    </xf>
    <xf numFmtId="3" fontId="15" fillId="2" borderId="4" xfId="0" applyNumberFormat="1" applyFont="1" applyFill="1" applyBorder="1"/>
    <xf numFmtId="3" fontId="10" fillId="2" borderId="3" xfId="0" applyNumberFormat="1" applyFont="1" applyFill="1" applyBorder="1"/>
    <xf numFmtId="0" fontId="13" fillId="4" borderId="1" xfId="0" applyFont="1" applyFill="1" applyBorder="1" applyAlignment="1"/>
    <xf numFmtId="0" fontId="13" fillId="4" borderId="2" xfId="0" applyFont="1" applyFill="1" applyBorder="1" applyAlignment="1"/>
    <xf numFmtId="0" fontId="14" fillId="4" borderId="2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3" borderId="1" xfId="0" applyFont="1" applyFill="1" applyBorder="1"/>
    <xf numFmtId="0" fontId="6" fillId="2" borderId="3" xfId="0" applyFont="1" applyFill="1" applyBorder="1"/>
    <xf numFmtId="0" fontId="6" fillId="2" borderId="10" xfId="0" applyFont="1" applyFill="1" applyBorder="1"/>
    <xf numFmtId="0" fontId="10" fillId="2" borderId="13" xfId="0" applyFont="1" applyFill="1" applyBorder="1"/>
    <xf numFmtId="14" fontId="2" fillId="2" borderId="4" xfId="1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165" fontId="2" fillId="2" borderId="0" xfId="1" applyFont="1" applyFill="1"/>
    <xf numFmtId="0" fontId="10" fillId="2" borderId="9" xfId="0" applyFont="1" applyFill="1" applyBorder="1" applyAlignment="1">
      <alignment horizontal="center"/>
    </xf>
    <xf numFmtId="165" fontId="2" fillId="2" borderId="4" xfId="0" applyNumberFormat="1" applyFont="1" applyFill="1" applyBorder="1"/>
    <xf numFmtId="0" fontId="2" fillId="2" borderId="0" xfId="0" applyFont="1" applyFill="1" applyBorder="1" applyAlignment="1">
      <alignment horizontal="left" vertical="center"/>
    </xf>
    <xf numFmtId="0" fontId="26" fillId="2" borderId="4" xfId="0" applyFont="1" applyFill="1" applyBorder="1"/>
    <xf numFmtId="9" fontId="6" fillId="4" borderId="5" xfId="0" applyNumberFormat="1" applyFont="1" applyFill="1" applyBorder="1" applyAlignment="1">
      <alignment horizontal="center"/>
    </xf>
    <xf numFmtId="9" fontId="6" fillId="4" borderId="16" xfId="0" applyNumberFormat="1" applyFont="1" applyFill="1" applyBorder="1" applyAlignment="1">
      <alignment horizontal="center"/>
    </xf>
    <xf numFmtId="172" fontId="2" fillId="2" borderId="4" xfId="1" applyNumberFormat="1" applyFont="1" applyFill="1" applyBorder="1" applyAlignment="1">
      <alignment horizontal="right"/>
    </xf>
    <xf numFmtId="171" fontId="2" fillId="2" borderId="4" xfId="2" applyNumberFormat="1" applyFont="1" applyFill="1" applyBorder="1"/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9" fontId="2" fillId="2" borderId="1" xfId="2" applyFont="1" applyFill="1" applyBorder="1" applyAlignment="1">
      <alignment horizontal="center"/>
    </xf>
    <xf numFmtId="9" fontId="2" fillId="2" borderId="3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9" fontId="2" fillId="2" borderId="4" xfId="2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right"/>
    </xf>
    <xf numFmtId="166" fontId="2" fillId="2" borderId="3" xfId="1" applyNumberFormat="1" applyFont="1" applyFill="1" applyBorder="1" applyAlignment="1">
      <alignment horizontal="right"/>
    </xf>
    <xf numFmtId="167" fontId="2" fillId="2" borderId="1" xfId="1" applyNumberFormat="1" applyFont="1" applyFill="1" applyBorder="1" applyAlignment="1">
      <alignment horizontal="right"/>
    </xf>
    <xf numFmtId="167" fontId="2" fillId="2" borderId="3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7" fillId="4" borderId="9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right"/>
    </xf>
    <xf numFmtId="0" fontId="10" fillId="2" borderId="8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3" xfId="0" applyFont="1" applyFill="1" applyBorder="1" applyAlignment="1">
      <alignment horizontal="right"/>
    </xf>
    <xf numFmtId="166" fontId="10" fillId="2" borderId="2" xfId="0" applyNumberFormat="1" applyFont="1" applyFill="1" applyBorder="1" applyAlignment="1">
      <alignment horizontal="left"/>
    </xf>
    <xf numFmtId="166" fontId="10" fillId="2" borderId="3" xfId="0" applyNumberFormat="1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166" fontId="10" fillId="2" borderId="1" xfId="1" applyNumberFormat="1" applyFont="1" applyFill="1" applyBorder="1" applyAlignment="1">
      <alignment horizontal="right"/>
    </xf>
    <xf numFmtId="166" fontId="10" fillId="2" borderId="3" xfId="1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4" fontId="14" fillId="2" borderId="6" xfId="6" applyNumberFormat="1" applyFont="1" applyFill="1" applyBorder="1" applyAlignment="1" applyProtection="1">
      <alignment horizontal="right"/>
      <protection locked="0"/>
    </xf>
    <xf numFmtId="3" fontId="14" fillId="2" borderId="6" xfId="6" applyNumberFormat="1" applyFont="1" applyFill="1" applyBorder="1" applyAlignment="1" applyProtection="1">
      <alignment horizontal="right"/>
      <protection locked="0"/>
    </xf>
    <xf numFmtId="14" fontId="14" fillId="2" borderId="0" xfId="6" applyNumberFormat="1" applyFont="1" applyFill="1" applyBorder="1" applyAlignment="1" applyProtection="1">
      <alignment horizontal="right" vertical="top" wrapText="1"/>
      <protection locked="0"/>
    </xf>
    <xf numFmtId="38" fontId="14" fillId="2" borderId="0" xfId="6" applyNumberFormat="1" applyFont="1" applyFill="1" applyBorder="1" applyAlignment="1" applyProtection="1">
      <alignment horizontal="right"/>
      <protection locked="0"/>
    </xf>
    <xf numFmtId="14" fontId="14" fillId="2" borderId="6" xfId="6" applyNumberFormat="1" applyFont="1" applyFill="1" applyBorder="1" applyAlignment="1" applyProtection="1">
      <alignment horizontal="right" vertical="top" wrapText="1"/>
      <protection locked="0"/>
    </xf>
    <xf numFmtId="37" fontId="14" fillId="2" borderId="6" xfId="3" applyNumberFormat="1" applyFont="1" applyFill="1" applyBorder="1" applyAlignment="1" applyProtection="1">
      <alignment horizontal="right" vertical="top" wrapText="1"/>
      <protection locked="0"/>
    </xf>
    <xf numFmtId="37" fontId="14" fillId="2" borderId="0" xfId="3" applyNumberFormat="1" applyFont="1" applyFill="1" applyBorder="1" applyAlignment="1" applyProtection="1">
      <alignment horizontal="right" vertical="top" wrapText="1"/>
      <protection locked="0"/>
    </xf>
    <xf numFmtId="0" fontId="21" fillId="2" borderId="1" xfId="6" applyFont="1" applyFill="1" applyBorder="1" applyAlignment="1" applyProtection="1">
      <alignment vertical="top" wrapText="1"/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vertical="top" wrapText="1"/>
      <protection locked="0"/>
    </xf>
    <xf numFmtId="166" fontId="14" fillId="2" borderId="0" xfId="3" applyNumberFormat="1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vertical="center" wrapText="1"/>
      <protection locked="0"/>
    </xf>
    <xf numFmtId="166" fontId="14" fillId="2" borderId="0" xfId="3" applyNumberFormat="1" applyFont="1" applyFill="1" applyBorder="1" applyAlignment="1" applyProtection="1">
      <alignment horizontal="right" vertical="top" wrapText="1"/>
      <protection locked="0"/>
    </xf>
    <xf numFmtId="14" fontId="14" fillId="2" borderId="6" xfId="6" applyNumberFormat="1" applyFont="1" applyFill="1" applyBorder="1" applyAlignment="1" applyProtection="1">
      <alignment vertical="top" wrapText="1"/>
      <protection locked="0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3" fontId="14" fillId="2" borderId="0" xfId="3" applyNumberFormat="1" applyFont="1" applyFill="1" applyBorder="1" applyAlignment="1" applyProtection="1">
      <alignment horizontal="right" vertical="top" wrapText="1"/>
      <protection locked="0"/>
    </xf>
    <xf numFmtId="3" fontId="14" fillId="2" borderId="6" xfId="3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37" fontId="14" fillId="2" borderId="6" xfId="4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</cellXfs>
  <cellStyles count="26">
    <cellStyle name="Comma" xfId="1" builtinId="3"/>
    <cellStyle name="Comma 10" xfId="3"/>
    <cellStyle name="Comma 11" xfId="18"/>
    <cellStyle name="Comma 12" xfId="19"/>
    <cellStyle name="Comma 2" xfId="11"/>
    <cellStyle name="Comma 3" xfId="12"/>
    <cellStyle name="Comma 4" xfId="13"/>
    <cellStyle name="Comma 5" xfId="14"/>
    <cellStyle name="Comma 6" xfId="15"/>
    <cellStyle name="Comma 7" xfId="16"/>
    <cellStyle name="Comma 8" xfId="17"/>
    <cellStyle name="Comma 9" xfId="9"/>
    <cellStyle name="Currency" xfId="4" builtinId="4"/>
    <cellStyle name="Followed Hyperlink" xfId="21" builtinId="9" hidden="1"/>
    <cellStyle name="Followed Hyperlink" xfId="23" builtinId="9" hidden="1"/>
    <cellStyle name="Followed Hyperlink" xfId="25" builtinId="9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0"/>
    <cellStyle name="Normal 3" xfId="8"/>
    <cellStyle name="Normal 4" xfId="5"/>
    <cellStyle name="Normal_WORKSHEET" xfId="6"/>
    <cellStyle name="Percent" xfId="2" builtinId="5"/>
    <cellStyle name="Percent 2" xfId="7"/>
  </cellStyles>
  <dxfs count="5">
    <dxf>
      <font>
        <color theme="0"/>
      </font>
      <border>
        <left/>
        <bottom/>
        <vertical/>
        <horizontal/>
      </border>
    </dxf>
    <dxf>
      <font>
        <color theme="0"/>
      </font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bunn/Desktop/budget/New%20folder/Budget_Worksheet_B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1"/>
      <sheetName val="Request"/>
      <sheetName val="Rate1"/>
      <sheetName val=" F&amp;A_Details"/>
    </sheetNames>
    <sheetDataSet>
      <sheetData sheetId="0">
        <row r="22">
          <cell r="A22" t="str">
            <v>On-Campus Research</v>
          </cell>
        </row>
        <row r="23">
          <cell r="A23" t="str">
            <v>Off-Campus Research</v>
          </cell>
        </row>
        <row r="24">
          <cell r="A24" t="str">
            <v>On-Campus Other Spon Activities</v>
          </cell>
        </row>
        <row r="25">
          <cell r="A25" t="str">
            <v>Off-Campus Other Spon Activities</v>
          </cell>
        </row>
        <row r="26">
          <cell r="A26" t="str">
            <v>Instruction</v>
          </cell>
        </row>
        <row r="27">
          <cell r="A27" t="str">
            <v>Other (Enter Rate):</v>
          </cell>
        </row>
        <row r="32">
          <cell r="A32" t="str">
            <v>MTDC</v>
          </cell>
        </row>
        <row r="33">
          <cell r="A33" t="str">
            <v>TDC</v>
          </cell>
        </row>
        <row r="34">
          <cell r="A34" t="str">
            <v xml:space="preserve">TC </v>
          </cell>
        </row>
        <row r="47">
          <cell r="A47">
            <v>0</v>
          </cell>
          <cell r="B47">
            <v>0</v>
          </cell>
        </row>
        <row r="48">
          <cell r="A48">
            <v>0.01</v>
          </cell>
          <cell r="B48" t="str">
            <v>1% FY</v>
          </cell>
        </row>
        <row r="49">
          <cell r="A49">
            <v>0.02</v>
          </cell>
          <cell r="B49" t="str">
            <v>2% FY</v>
          </cell>
        </row>
        <row r="50">
          <cell r="A50">
            <v>0.03</v>
          </cell>
          <cell r="B50" t="str">
            <v>3% FY</v>
          </cell>
        </row>
        <row r="51">
          <cell r="A51">
            <v>0.04</v>
          </cell>
          <cell r="B51" t="str">
            <v>4% FY</v>
          </cell>
        </row>
        <row r="52">
          <cell r="A52">
            <v>0.05</v>
          </cell>
          <cell r="B52" t="str">
            <v>5% FY</v>
          </cell>
        </row>
        <row r="53">
          <cell r="A53" t="str">
            <v>Multi</v>
          </cell>
          <cell r="B53" t="str">
            <v>1% PY</v>
          </cell>
        </row>
        <row r="54">
          <cell r="B54" t="str">
            <v>2% PY</v>
          </cell>
        </row>
        <row r="55">
          <cell r="B55" t="str">
            <v>3% PY</v>
          </cell>
        </row>
        <row r="56">
          <cell r="B56" t="str">
            <v>4% PY</v>
          </cell>
        </row>
        <row r="57">
          <cell r="B57" t="str">
            <v>5% PY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8"/>
  <sheetViews>
    <sheetView topLeftCell="A43" workbookViewId="0">
      <selection activeCell="K161" sqref="K161"/>
    </sheetView>
  </sheetViews>
  <sheetFormatPr baseColWidth="10" defaultColWidth="8.83203125" defaultRowHeight="13" x14ac:dyDescent="0"/>
  <cols>
    <col min="1" max="1" width="35.1640625" style="1" bestFit="1" customWidth="1"/>
    <col min="2" max="2" width="13.5" style="1" bestFit="1" customWidth="1"/>
    <col min="3" max="5" width="11.83203125" style="1" bestFit="1" customWidth="1"/>
    <col min="6" max="6" width="11.6640625" style="1" customWidth="1"/>
    <col min="7" max="7" width="11.83203125" style="1" bestFit="1" customWidth="1"/>
    <col min="8" max="8" width="12.5" style="1" bestFit="1" customWidth="1"/>
    <col min="9" max="10" width="11.33203125" style="1" bestFit="1" customWidth="1"/>
    <col min="11" max="11" width="10.33203125" style="1" customWidth="1"/>
    <col min="12" max="12" width="10.1640625" style="1" bestFit="1" customWidth="1"/>
    <col min="13" max="16384" width="8.83203125" style="1"/>
  </cols>
  <sheetData>
    <row r="1" spans="1:16">
      <c r="A1" s="2" t="s">
        <v>0</v>
      </c>
      <c r="B1" s="10" t="s">
        <v>26</v>
      </c>
      <c r="C1" s="10" t="s">
        <v>10</v>
      </c>
      <c r="D1" s="10" t="s">
        <v>11</v>
      </c>
      <c r="E1" s="10" t="s">
        <v>12</v>
      </c>
      <c r="F1" s="10" t="s">
        <v>25</v>
      </c>
      <c r="G1" s="10" t="s">
        <v>13</v>
      </c>
      <c r="I1" s="22"/>
      <c r="J1" s="23"/>
      <c r="K1" s="23"/>
      <c r="L1" s="23"/>
      <c r="M1" s="23"/>
      <c r="N1" s="23"/>
      <c r="O1" s="23"/>
      <c r="P1" s="23"/>
    </row>
    <row r="2" spans="1:16">
      <c r="A2" s="6" t="s">
        <v>1</v>
      </c>
      <c r="B2" s="5">
        <f>Request!C1</f>
        <v>42248</v>
      </c>
      <c r="C2" s="5">
        <f>B2</f>
        <v>42248</v>
      </c>
      <c r="D2" s="5">
        <f>IF(C3&lt;B3,DATE(YEAR(C3),MONTH(C3),DAY(C3)+1),"")</f>
        <v>42614</v>
      </c>
      <c r="E2" s="5">
        <f>IF($D$3&lt;$B$3,DATE(YEAR(D3),MONTH(D3),DAY(D3)+1),"")</f>
        <v>42979</v>
      </c>
      <c r="F2" s="5" t="str">
        <f>IF(AND($D$3&lt;$B$3,$E3&lt;$B$3),DATE(YEAR(E3),MONTH(E3),DAY(E3)+1),"")</f>
        <v/>
      </c>
      <c r="G2" s="5" t="str">
        <f>IF(AND($D$3&lt;$B$3,$E3&lt;$B$3,F3&lt;B3),DATE(YEAR(F3),MONTH(F3),DAY(F3)+1),"")</f>
        <v/>
      </c>
      <c r="I2" s="22"/>
      <c r="J2" s="23"/>
      <c r="K2" s="24"/>
      <c r="L2" s="23"/>
      <c r="M2" s="23"/>
      <c r="N2" s="23"/>
      <c r="O2" s="23"/>
      <c r="P2" s="23"/>
    </row>
    <row r="3" spans="1:16">
      <c r="A3" s="6" t="s">
        <v>2</v>
      </c>
      <c r="B3" s="5">
        <f>Request!C2</f>
        <v>43343</v>
      </c>
      <c r="C3" s="5">
        <f>IF((DATE(YEAR(C2)+1,MONTH(C2),DAY(C2)-1))&gt;B3,B3,(DATE(YEAR(C2)+1,MONTH(C2),DAY(C2)-1)))</f>
        <v>42613</v>
      </c>
      <c r="D3" s="5">
        <f>IF(C3=B3,"",IF((DATE(YEAR(D2)+1,MONTH(D2),DAY(D2)-1))&gt;$B$3,$B$3,(DATE(YEAR(D2)+1,MONTH(D2),DAY(D2)-1))))</f>
        <v>42978</v>
      </c>
      <c r="E3" s="5">
        <f>IF(C3=B3,"",IF(D3=B3,"",IF((DATE(YEAR(E2)+1,MONTH(E2),DAY(E2)-1))&gt;$B$3,$B$3,(DATE(YEAR(E2)+1,MONTH(E2),DAY(E2)-1)))))</f>
        <v>43343</v>
      </c>
      <c r="F3" s="5" t="str">
        <f>IF($B$3=$C$3,"",IF($D$3=$B$3,"",IF($E$3=$B$3,"",IF((DATE(YEAR(F2)+1,MONTH(F2),DAY(F2)-1))&gt;$B$3,$B$3,(DATE(YEAR(F2)+1,MONTH(F2),DAY(F2)-1))))))</f>
        <v/>
      </c>
      <c r="G3" s="5" t="str">
        <f>IF($B$3=$C$3,"",IF($D$3=$B$3,"",IF($E$3=$B$3,"",IF($F3=B3,"",IF((DATE(YEAR(G2)+1,MONTH(G2),DAY(G2)-1))&gt;$B$3,$B$3,(DATE(YEAR(G2)+1,MONTH(G2),DAY(G2)-1)))))))</f>
        <v/>
      </c>
      <c r="H3" s="18"/>
      <c r="I3" s="22"/>
      <c r="J3" s="23"/>
      <c r="K3" s="23"/>
      <c r="L3" s="23"/>
      <c r="M3" s="23"/>
      <c r="N3" s="23"/>
      <c r="O3" s="23"/>
      <c r="P3" s="23"/>
    </row>
    <row r="4" spans="1:16">
      <c r="A4" s="6" t="s">
        <v>24</v>
      </c>
      <c r="B4" s="6" t="str">
        <f>IF(AND(B2&gt;DATEVALUE("6/30/2014"),B2&lt;DATEVALUE("7/1/2015")),"14/15",IF(AND(B2&gt;DATEVALUE("6/30/2015"),B2&lt;DATEVALUE("7/1/2016")),"15/16",IF(AND(B2&gt;DATEVALUE("6/30/2016"),B2&lt;DATEVALUE("7/1/2017")),"16/17",IF(AND(B2&gt;DATEVALUE("6/30/2017"),B2&lt;DATEVALUE("7/1/2018")),"17/18",IF(AND(B2&gt;DATEVALUE("6/30/2018"),B2&lt;DATEVALUE("7/1/2019")),"18/19",IF(AND(B2&gt;DATEVALUE("6/30/2019"),B2&lt;DATEVALUE("7/1/2020")),"19/20",IF(AND(B2&gt;DATEVALUE("6/30/2020"),B2&lt;DATEVALUE("7/1/2021")),"20/21",IF(AND(B2&gt;DATEVALUE("6/30/2021"),B2&lt;DATEVALUE("7/1/2022")),"21/22",IF(AND(B2&gt;DATEVALUE("6/30/2022"),B2&lt;DATEVALUE("7/1/2023")),"22/23",IF(AND(B2&gt;DATEVALUE("6/30/2023"),B2&lt;DATEVALUE("7/1/2024")),"23/24",IF(AND(B2&gt;DATEVALUE("6/30/2024"),B2&lt;DATEVALUE("7/1/2025")),"24/25")))))))))))</f>
        <v>15/16</v>
      </c>
      <c r="C4" s="6" t="str">
        <f>IF(AND(C2&gt;DATEVALUE("6/30/2014"),C2&lt;DATEVALUE("7/1/2015")),"14/15",IF(AND(C2&gt;DATEVALUE("6/30/2015"),C2&lt;DATEVALUE("7/1/2016")),"15/16",IF(AND(C2&gt;DATEVALUE("6/30/2016"),C2&lt;DATEVALUE("7/1/2017")),"16/17",IF(AND(C2&gt;DATEVALUE("6/30/2017"),C2&lt;DATEVALUE("7/1/2018")),"17/18",IF(AND(C2&gt;DATEVALUE("6/30/2018"),C2&lt;DATEVALUE("7/1/2019")),"18/19",IF(AND(C2&gt;DATEVALUE("6/30/2019"),C2&lt;DATEVALUE("7/1/2020")),"19/20",IF(AND(C2&gt;DATEVALUE("6/30/2020"),C2&lt;DATEVALUE("7/1/2021")),"20/21",IF(AND(C2&gt;DATEVALUE("6/30/2021"),C2&lt;DATEVALUE("7/1/2022")),"21/22",IF(AND(C2&gt;DATEVALUE("6/30/2022"),C2&lt;DATEVALUE("7/1/2023")),"22/23",IF(AND(C2&gt;DATEVALUE("6/30/2023"),C2&lt;DATEVALUE("7/1/2024")),"23/24",IF(AND(C2&gt;DATEVALUE("6/30/2024"),C2&lt;DATEVALUE("7/1/2025")),"24/25")))))))))))</f>
        <v>15/16</v>
      </c>
      <c r="D4" s="6" t="str">
        <f>IF($C$3&lt;$B$3,(IF(AND(D2&gt;DATEVALUE("6/30/2014"),D2&lt;DATEVALUE("7/1/2015")),"14/15",IF(AND(D2&gt;DATEVALUE("6/30/2015"),D2&lt;DATEVALUE("7/1/2016")),"15/16",IF(AND(D2&gt;DATEVALUE("6/30/2016"),D2&lt;DATEVALUE("7/1/2017")),"16/17",IF(AND(D2&gt;DATEVALUE("6/30/2017"),D2&lt;DATEVALUE("7/1/2018")),"17/18",IF(AND(D2&gt;DATEVALUE("6/30/2018"),D2&lt;DATEVALUE("7/1/2019")),"18/19",IF(AND(D2&gt;DATEVALUE("6/30/2019"),D2&lt;DATEVALUE("7/1/2020")),"19/20",IF(AND(D2&gt;DATEVALUE("6/30/2020"),D2&lt;DATEVALUE("7/1/2021")),"20/21",IF(AND(D2&gt;DATEVALUE("6/30/2021"),D2&lt;DATEVALUE("7/1/2022")),"21/22",IF(AND(D2&gt;DATEVALUE("6/30/2022"),D2&lt;DATEVALUE("7/1/2023")),"22/23",IF(AND(D2&gt;DATEVALUE("6/30/2023"),D2&lt;DATEVALUE("7/1/2024")),"23/24",IF(AND(D2&gt;DATEVALUE("6/30/2024"),D2&lt;DATEVALUE("7/1/2025")),"24/25")))))))))))),"")</f>
        <v>16/17</v>
      </c>
      <c r="E4" s="6" t="str">
        <f>IF(AND($D$3&lt;$B$3,$C$3&lt;$B$3),(IF(AND(E2&gt;DATEVALUE("6/30/2014"),E2&lt;DATEVALUE("7/1/2015")),"14/15",IF(AND(E2&gt;DATEVALUE("6/30/2015"),E2&lt;DATEVALUE("7/1/2016")),"15/16",IF(AND(E2&gt;DATEVALUE("6/30/2016"),E2&lt;DATEVALUE("7/1/2017")),"16/17",IF(AND(E2&gt;DATEVALUE("6/30/2017"),E2&lt;DATEVALUE("7/1/2018")),"17/18",IF(AND(E2&gt;DATEVALUE("6/30/2018"),E2&lt;DATEVALUE("7/1/2019")),"18/19",IF(AND(E2&gt;DATEVALUE("6/30/2019"),E2&lt;DATEVALUE("7/1/2020")),"19/20",IF(AND(E2&gt;DATEVALUE("6/30/2020"),E2&lt;DATEVALUE("7/1/2021")),"20/21",IF(AND(E2&gt;DATEVALUE("6/30/2021"),E2&lt;DATEVALUE("7/1/2022")),"21/22",IF(AND(E2&gt;DATEVALUE("6/30/2022"),E2&lt;DATEVALUE("7/1/2023")),"22/23",IF(AND(E2&gt;DATEVALUE("6/30/2023"),E2&lt;DATEVALUE("7/1/2024")),"23/24",IF(AND(E2&gt;DATEVALUE("6/30/2024"),E2&lt;DATEVALUE("7/1/2025")),"24/25")))))))))))),"")</f>
        <v>17/18</v>
      </c>
      <c r="F4" s="6" t="str">
        <f>IF(AND($D$3&lt;$B$3,$C$3&lt;$B$3,E3&lt;B3),(IF(AND(F2&gt;DATEVALUE("6/30/2014"),F2&lt;DATEVALUE("7/1/2015")),"14/15",IF(AND(F2&gt;DATEVALUE("6/30/2015"),F2&lt;DATEVALUE("7/1/2016")),"15/16",IF(AND(F2&gt;DATEVALUE("6/30/2016"),F2&lt;DATEVALUE("7/1/2017")),"16/17",IF(AND(F2&gt;DATEVALUE("6/30/2017"),F2&lt;DATEVALUE("7/1/2018")),"17/18",IF(AND(F2&gt;DATEVALUE("6/30/2018"),F2&lt;DATEVALUE("7/1/2019")),"18/19",IF(AND(F2&gt;DATEVALUE("6/30/2019"),F2&lt;DATEVALUE("7/1/2020")),"19/20",IF(AND(F2&gt;DATEVALUE("6/30/2020"),F2&lt;DATEVALUE("7/1/2021")),"20/21",IF(AND(F2&gt;DATEVALUE("6/30/2021"),F2&lt;DATEVALUE("7/1/2022")),"21/22",IF(AND(F2&gt;DATEVALUE("6/30/2022"),F2&lt;DATEVALUE("7/1/2023")),"22/23",IF(AND(F2&gt;DATEVALUE("6/30/2023"),F2&lt;DATEVALUE("7/1/2024")),"23/24",IF(AND(F2&gt;DATEVALUE("6/30/2024"),F2&lt;DATEVALUE("7/1/2025")),"24/25")))))))))))),"")</f>
        <v/>
      </c>
      <c r="G4" s="6" t="str">
        <f>IF(AND($D$3&lt;$B$3,$C$3&lt;$B$3,F3&lt;B3,E3&lt;B3),(IF(AND(G2&gt;DATEVALUE("6/30/2014"),G2&lt;DATEVALUE("7/1/2015")),"14/15",IF(AND(G2&gt;DATEVALUE("6/30/2015"),G2&lt;DATEVALUE("7/1/2016")),"15/16",IF(AND(G2&gt;DATEVALUE("6/30/2016"),G2&lt;DATEVALUE("7/1/2017")),"16/17",IF(AND(G2&gt;DATEVALUE("6/30/2017"),G2&lt;DATEVALUE("7/1/2018")),"17/18",IF(AND(G2&gt;DATEVALUE("6/30/2018"),G2&lt;DATEVALUE("7/1/2019")),"18/19",IF(AND(G2&gt;DATEVALUE("6/30/2019"),G2&lt;DATEVALUE("7/1/2020")),"19/20",IF(AND(G2&gt;DATEVALUE("6/30/2020"),G2&lt;DATEVALUE("7/1/2021")),"20/21",IF(AND(G2&gt;DATEVALUE("6/30/2021"),G2&lt;DATEVALUE("7/1/2022")),"21/22",IF(AND(G2&gt;DATEVALUE("6/30/2022"),G2&lt;DATEVALUE("7/1/2023")),"22/23",IF(AND(G2&gt;DATEVALUE("6/30/2023"),G2&lt;DATEVALUE("7/1/2024")),"23/24",IF(AND(G2&gt;DATEVALUE("6/30/2024"),G2&lt;DATEVALUE("7/1/2025")),"24/25")))))))))))),"")</f>
        <v/>
      </c>
      <c r="H4" s="17"/>
      <c r="I4" s="22"/>
      <c r="J4" s="23"/>
      <c r="K4" s="23"/>
      <c r="L4" s="23"/>
      <c r="M4" s="23"/>
      <c r="N4" s="23"/>
      <c r="O4" s="23"/>
      <c r="P4" s="23"/>
    </row>
    <row r="5" spans="1:16">
      <c r="A5" s="6" t="s">
        <v>27</v>
      </c>
      <c r="B5" s="7">
        <f>SUM(C5:G5)</f>
        <v>36</v>
      </c>
      <c r="C5" s="16">
        <f>IF(C4="","",ROUND(YEARFRAC(C2,(DATE(YEAR(C3),MONTH(C3),DAY(C3)+1)),1)*12,1))</f>
        <v>12</v>
      </c>
      <c r="D5" s="16">
        <f>IF(D4="",0,ROUND(YEARFRAC(D2,(DATE(YEAR(D3),MONTH(D3),DAY(D3)+1)),1)*12,1))</f>
        <v>12</v>
      </c>
      <c r="E5" s="16">
        <f>IF(E4="",0,ROUND(YEARFRAC(E2,(DATE(YEAR(E3),MONTH(E3),DAY(E3)+1)),1)*12,1))</f>
        <v>12</v>
      </c>
      <c r="F5" s="16">
        <f>IF(F4="",0,ROUND(YEARFRAC(F2,(DATE(YEAR(F3),MONTH(F3),DAY(F3)+1)),1)*12,1))</f>
        <v>0</v>
      </c>
      <c r="G5" s="16">
        <f>IF(G4="",0,ROUND(YEARFRAC(G2,(DATE(YEAR(G3),MONTH(G3),DAY(G3)+1)),1)*12,1))</f>
        <v>0</v>
      </c>
      <c r="I5" s="22"/>
      <c r="J5" s="23"/>
      <c r="K5" s="23"/>
      <c r="L5" s="23"/>
      <c r="M5" s="23"/>
      <c r="N5" s="23"/>
      <c r="O5" s="23"/>
      <c r="P5" s="23"/>
    </row>
    <row r="6" spans="1:16">
      <c r="A6" s="6" t="s">
        <v>28</v>
      </c>
      <c r="B6" s="7"/>
      <c r="C6" s="15">
        <f>IF(C4="",0,(IF(MONTH(C2)=2,(IF(C4="",0,IF(OR(C4="15/16",C4="19/20"),ROUND(YEARFRAC(C2,(DATE(YEAR(C8),MONTH(C8),DAY(C8))),1)*12,1),ROUND(YEARFRAC(C2,(DATE(YEAR(C8),MONTH(C8),DAY(C8)+1)),1)*12,1)))),(ROUND(YEARFRAC(C2,(DATE(YEAR(C8),MONTH(C8),DAY(C8))),1)*12,1)))))</f>
        <v>10</v>
      </c>
      <c r="D6" s="15">
        <f t="shared" ref="D6:G6" si="0">IF(D4="",0,(IF(MONTH(D2)=2,(IF(D4="",0,IF(OR(D4="15/16",D4="19/20"),ROUND(YEARFRAC(D2,(DATE(YEAR(D8),MONTH(D8),DAY(D8))),1)*12,1),ROUND(YEARFRAC(D2,(DATE(YEAR(D8),MONTH(D8),DAY(D8)+1)),1)*12,1)))),(ROUND(YEARFRAC(D2,(DATE(YEAR(D8),MONTH(D8),DAY(D8))),1)*12,1)))))</f>
        <v>10</v>
      </c>
      <c r="E6" s="15">
        <f t="shared" si="0"/>
        <v>10</v>
      </c>
      <c r="F6" s="15">
        <f t="shared" si="0"/>
        <v>0</v>
      </c>
      <c r="G6" s="15">
        <f t="shared" si="0"/>
        <v>0</v>
      </c>
      <c r="H6" s="12"/>
      <c r="I6" s="22"/>
      <c r="J6" s="23"/>
      <c r="K6" s="23"/>
      <c r="L6" s="23"/>
      <c r="M6" s="23"/>
      <c r="N6" s="23"/>
      <c r="O6" s="23"/>
      <c r="P6" s="23"/>
    </row>
    <row r="7" spans="1:16">
      <c r="A7" s="6" t="s">
        <v>29</v>
      </c>
      <c r="B7" s="8"/>
      <c r="C7" s="8">
        <f>IF(ROUND(C5-C6,2)&lt;0,0,ROUND(C5-C6,2))</f>
        <v>2</v>
      </c>
      <c r="D7" s="8">
        <f>IF(ROUND(D5-D6,2)&lt;0,0,ROUND(D5-D6,2))</f>
        <v>2</v>
      </c>
      <c r="E7" s="8">
        <f>IF(ROUND(E5-E6,2)&lt;0,0,ROUND(E5-E6,2))</f>
        <v>2</v>
      </c>
      <c r="F7" s="8">
        <f>IF(ROUND(F5-F6,2)&lt;0,0,ROUND(F5-F6,2))</f>
        <v>0</v>
      </c>
      <c r="G7" s="8">
        <f>IF(ROUND(G5-G6,2)&lt;0,0,ROUND(G5-G6,2))</f>
        <v>0</v>
      </c>
      <c r="H7" s="145"/>
      <c r="I7" s="22"/>
      <c r="J7" s="23"/>
      <c r="K7" s="23"/>
      <c r="L7" s="23"/>
      <c r="M7" s="23"/>
      <c r="N7" s="23"/>
      <c r="O7" s="23"/>
      <c r="P7" s="23"/>
    </row>
    <row r="8" spans="1:16">
      <c r="A8" s="6" t="s">
        <v>49</v>
      </c>
      <c r="B8" s="5"/>
      <c r="C8" s="5" t="str">
        <f>IF(C4="14/15",("7/01/2015"),IF(C4="15/16",("7/01/2016"),IF(C4="16/17",("7/01/2017"),IF(C4="17/18",("7/01/2018"),IF(C4="18/19",("7/01/2019"),IF(C4="19/20",("7/01/2020"),IF(C4="20/21",("7/01/2021"),IF(C4="21/22",("7/01/2022"),IF(C4="22/23",("7/01/2023"))))))))))</f>
        <v>7/01/2016</v>
      </c>
      <c r="D8" s="5" t="str">
        <f>IF(D4="","",IF(D4="14/15",("7/01/2015"),IF(D4="15/16",("7/01/2016"),IF(D4="16/17",("7/01/2017"),IF(D4="17/18",("7/01/2018"),IF(D4="18/19",("7/01/2019"),IF(D4="19/20",("7/01/2020"),IF(D4="20/21",("7/01/2021"),IF(D4="21/22",("7/01/2022"),IF(D4="22/23",("7/01/2023"),IF(D4="23/24",("07/01/2024"),IF(D4="24/24",("07/01/2025")))))))))))))</f>
        <v>7/01/2017</v>
      </c>
      <c r="E8" s="5" t="str">
        <f t="shared" ref="E8:F8" si="1">IF(E4="","",IF(E4="14/15",("7/01/2015"),IF(E4="15/16",("7/01/2016"),IF(E4="16/17",("7/01/2017"),IF(E4="17/18",("7/01/2018"),IF(E4="18/19",("7/01/2019"),IF(E4="19/20",("7/01/2020"),IF(E4="20/21",("7/01/2021"),IF(E4="21/22",("7/01/2022"),IF(E4="22/23",("7/01/2023"),IF(E4="23/24",("07/01/2024"),IF(E4="24/24",("07/01/2025")))))))))))))</f>
        <v>7/01/2018</v>
      </c>
      <c r="F8" s="5" t="str">
        <f t="shared" si="1"/>
        <v/>
      </c>
      <c r="G8" s="5" t="str">
        <f>IF(G4="","",IF(G4="14/15",("7/01/2015"),IF(G4="15/16",("7/01/2016"),IF(G4="16/17",("7/01/2017"),IF(G4="17/18",("7/01/2018"),IF(G4="18/19",("7/01/2019"),IF(G4="19/20",("7/01/2020"),IF(G4="20/21",("7/01/2021"),IF(G4="21/22",("7/01/2022"),IF(G4="22/23",("7/01/2023"),IF(G4="23/24",("07/01/2024"),IF(G4="24/24",("07/01/2025")))))))))))))</f>
        <v/>
      </c>
      <c r="H8" s="12"/>
      <c r="I8" s="22"/>
      <c r="J8" s="23"/>
      <c r="K8" s="23"/>
      <c r="L8" s="23"/>
      <c r="M8" s="22"/>
      <c r="N8" s="25"/>
      <c r="O8" s="23"/>
      <c r="P8" s="23"/>
    </row>
    <row r="9" spans="1:16">
      <c r="A9" s="6" t="s">
        <v>51</v>
      </c>
      <c r="B9" s="5"/>
      <c r="C9" s="14">
        <f>IF(C5&lt;C6,C5,IF(C5=C6,C5,IF(C5&gt;C6,C6)))</f>
        <v>10</v>
      </c>
      <c r="D9" s="14">
        <f t="shared" ref="D9:E9" si="2">IF(D5&lt;D6,D5,IF(D5=D6,D5,IF(D5&gt;D6,D6)))</f>
        <v>10</v>
      </c>
      <c r="E9" s="14">
        <f t="shared" si="2"/>
        <v>10</v>
      </c>
      <c r="F9" s="14">
        <f>IF(F5&lt;F6,F5,IF(F5=F6,F5,IF(F5&gt;F6,F6)))</f>
        <v>0</v>
      </c>
      <c r="G9" s="14">
        <f>IF(G5&lt;G6,G5,IF(G5=G6,G5,IF(G5&gt;G6,G6)))</f>
        <v>0</v>
      </c>
      <c r="H9" s="12"/>
      <c r="I9" s="22"/>
      <c r="J9" s="23"/>
      <c r="K9" s="23"/>
      <c r="L9" s="23"/>
      <c r="M9" s="23"/>
      <c r="N9" s="23"/>
      <c r="O9" s="23"/>
      <c r="P9" s="23"/>
    </row>
    <row r="10" spans="1:16">
      <c r="A10" s="6" t="s">
        <v>50</v>
      </c>
      <c r="B10" s="5"/>
      <c r="C10" s="7">
        <f>ROUND(C5-C9,2)</f>
        <v>2</v>
      </c>
      <c r="D10" s="7">
        <f>IF(D4="",0,ROUND(D5-D9,2))</f>
        <v>2</v>
      </c>
      <c r="E10" s="7">
        <f>IF(E4="",0,ROUND(E5-E9,2))</f>
        <v>2</v>
      </c>
      <c r="F10" s="7">
        <f>IF(F4="",0,ROUND(F5-F9,2))</f>
        <v>0</v>
      </c>
      <c r="G10" s="7">
        <f>IF(G4="",0,ROUND(G5-G9,2))</f>
        <v>0</v>
      </c>
      <c r="H10" s="12"/>
      <c r="I10" s="22"/>
      <c r="J10" s="23"/>
      <c r="K10" s="23"/>
      <c r="L10" s="23"/>
      <c r="M10" s="23"/>
      <c r="N10" s="23"/>
      <c r="O10" s="23"/>
      <c r="P10" s="23"/>
    </row>
    <row r="11" spans="1:16">
      <c r="A11" s="6" t="s">
        <v>55</v>
      </c>
      <c r="B11" s="5"/>
      <c r="C11" s="21">
        <f>IF(AND(MONTH(C2)=9,DAY(C2)&lt;=5),1,IF(AND(MONTH(C2)=6,DAY(C2)&lt;=15),0.5,IF(AND(MONTH(C2)=7,DAY(C2)&lt;=15),3,IF(AND(MONTH(C2)=7,DAY(C2)&gt;15),2.5,IF(AND(MONTH(C2)=8,DAY(C2)&lt;=15),2,IF(AND(MONTH(C2)=8,DAY(C2)&gt;15),1.5,0.5))))))</f>
        <v>1</v>
      </c>
      <c r="D11" s="21">
        <f>IF(D4="",0,(IF(AND(MONTH(D2)=9,DAY(D2)&lt;=5),1,IF(AND(MONTH(D2)=6,DAY(D2)&lt;=15),0.5,IF(AND(MONTH(D2)=7,DAY(D2)&lt;=15),3,IF(AND(MONTH(D2)=7,DAY(D2)&gt;15),2.5,IF(AND(MONTH(D2)=8,DAY(D2)&lt;=15),2,IF(AND(MONTH(D2)=8,DAY(D2)&gt;15),1.5,0.5))))))))</f>
        <v>1</v>
      </c>
      <c r="E11" s="21">
        <f t="shared" ref="E11:F11" si="3">IF(E4="",0,(IF(AND(MONTH(E2)=9,DAY(E2)&lt;=5),1,IF(AND(MONTH(E2)=6,DAY(E2)&lt;=15),0.5,IF(AND(MONTH(E2)=7,DAY(E2)&lt;=15),3,IF(AND(MONTH(E2)=7,DAY(E2)&gt;15),2.5,IF(AND(MONTH(E2)=8,DAY(E2)&lt;=15),2,IF(AND(MONTH(E2)=8,DAY(E2)&gt;15),1.5,0.5))))))))</f>
        <v>1</v>
      </c>
      <c r="F11" s="21">
        <f t="shared" si="3"/>
        <v>0</v>
      </c>
      <c r="G11" s="21">
        <f>IF(G4="",0,(IF(AND(MONTH(G2)=9,DAY(G2)&lt;=15),1,IF(AND(MONTH(G2)=6,DAY(G2)&lt;=15),0.5,IF(AND(MONTH(G2)=7,DAY(G2)&lt;=15),3,IF(AND(MONTH(G2)=7,DAY(G2)&gt;15),2.5,IF(AND(MONTH(G2)=8,DAY(G2)&lt;=15),2,IF(AND(MONTH(G2)=8,DAY(G2)&gt;15),1.5,0.5))))))))</f>
        <v>0</v>
      </c>
      <c r="H11" s="12"/>
      <c r="I11" s="22"/>
      <c r="J11" s="23"/>
      <c r="K11" s="23"/>
      <c r="L11" s="23"/>
      <c r="M11" s="23"/>
      <c r="N11" s="23"/>
      <c r="O11" s="23"/>
      <c r="P11" s="23"/>
    </row>
    <row r="12" spans="1:16">
      <c r="A12" s="6" t="s">
        <v>56</v>
      </c>
      <c r="B12" s="5"/>
      <c r="C12" s="7">
        <f>3-C11</f>
        <v>2</v>
      </c>
      <c r="D12" s="7">
        <f>IF(D4="",0,3-D11)</f>
        <v>2</v>
      </c>
      <c r="E12" s="7">
        <f>IF(E4="",0,3-E11)</f>
        <v>2</v>
      </c>
      <c r="F12" s="7">
        <f>IF(F4="",0,3-F11)</f>
        <v>0</v>
      </c>
      <c r="G12" s="7">
        <f>IF(G4="",0,3-G11)</f>
        <v>0</v>
      </c>
      <c r="H12" s="12"/>
      <c r="I12" s="22"/>
      <c r="J12" s="23"/>
      <c r="K12" s="23"/>
      <c r="L12" s="23"/>
      <c r="M12" s="23"/>
      <c r="N12" s="23"/>
      <c r="O12" s="23"/>
      <c r="P12" s="23"/>
    </row>
    <row r="13" spans="1:16">
      <c r="A13" s="90" t="s">
        <v>57</v>
      </c>
      <c r="B13" s="91"/>
      <c r="C13" s="92">
        <f>IF(C9&gt;=C11,C11,C9)</f>
        <v>1</v>
      </c>
      <c r="D13" s="92">
        <f>IF(D4="",0,IF(D9&gt;=D11,D11,D9))</f>
        <v>1</v>
      </c>
      <c r="E13" s="92">
        <f t="shared" ref="E13:G13" si="4">IF(E9&gt;=E11,E11,E9)</f>
        <v>1</v>
      </c>
      <c r="F13" s="92">
        <f t="shared" si="4"/>
        <v>0</v>
      </c>
      <c r="G13" s="92">
        <f t="shared" si="4"/>
        <v>0</v>
      </c>
      <c r="H13" s="12"/>
    </row>
    <row r="14" spans="1:16">
      <c r="A14" s="90" t="s">
        <v>58</v>
      </c>
      <c r="B14" s="91"/>
      <c r="C14" s="92">
        <f>IF(C10&gt;=C12,C12,C10)</f>
        <v>2</v>
      </c>
      <c r="D14" s="92">
        <f t="shared" ref="D14:G14" si="5">IF(D10&gt;=D12,D12,D10)</f>
        <v>2</v>
      </c>
      <c r="E14" s="92">
        <f t="shared" si="5"/>
        <v>2</v>
      </c>
      <c r="F14" s="92">
        <f t="shared" si="5"/>
        <v>0</v>
      </c>
      <c r="G14" s="92">
        <f t="shared" si="5"/>
        <v>0</v>
      </c>
      <c r="H14" s="12"/>
    </row>
    <row r="15" spans="1:16">
      <c r="A15" s="6" t="s">
        <v>60</v>
      </c>
      <c r="B15" s="5">
        <f ca="1">TODAY()</f>
        <v>42027</v>
      </c>
      <c r="C15" s="30"/>
      <c r="D15" s="31"/>
      <c r="E15" s="31"/>
      <c r="F15" s="31"/>
      <c r="G15" s="32"/>
      <c r="H15" s="12"/>
    </row>
    <row r="16" spans="1:16">
      <c r="A16" s="6" t="s">
        <v>62</v>
      </c>
      <c r="B16" s="5" t="str">
        <f ca="1">IF(AND(B15&gt;DATEVALUE("6/30/2014"),B15&lt;DATEVALUE("7/1/2015")),"14/15",IF(AND(B15&gt;DATEVALUE("6/30/2015"),B15&lt;DATEVALUE("7/1/2016")),"15/16",IF(AND(B15&gt;DATEVALUE("6/30/2016"),B15&lt;DATEVALUE("7/1/2017")),"16/17",IF(AND(B15&gt;DATEVALUE("6/30/2017"),B15&lt;DATEVALUE("7/1/2018")),"17/18",IF(AND(B15&gt;DATEVALUE("6/30/2018"),B15&lt;DATEVALUE("7/1/2019")),"18/19",IF(AND(B15&gt;DATEVALUE("6/30/2019"),B15&lt;DATEVALUE("7/1/2020")),"19/20",IF(AND(B15&gt;DATEVALUE("6/30/2020"),B15&lt;DATEVALUE("7/1/2021")),"20/21",IF(AND(B15&gt;DATEVALUE("6/30/2021"),B15&lt;DATEVALUE("7/1/2022")),"21/22",IF(AND(B15&gt;DATEVALUE("6/30/2022"),B15&lt;DATEVALUE("7/1/2023")),"22/23",IF(AND(B15&gt;DATEVALUE("6/30/2023"),B15&lt;DATEVALUE("7/1/2024")),"23/24",IF(AND(B15&gt;DATEVALUE("6/30/2024"),B16&lt;DATEVALUE("7/1/2025")),"24/25")))))))))))</f>
        <v>14/15</v>
      </c>
      <c r="C16" s="33"/>
      <c r="D16" s="13"/>
      <c r="E16" s="13"/>
      <c r="F16" s="13"/>
      <c r="G16" s="34"/>
      <c r="H16" s="12"/>
    </row>
    <row r="17" spans="1:8">
      <c r="A17" s="6" t="s">
        <v>63</v>
      </c>
      <c r="B17" s="5" t="str">
        <f ca="1">IF(B16="14/15",("7/01/2015"),IF(B16="15/16",("7/01/2016"),IF(B16="16/17",("7/01/2017"),IF(B16="17/18",("7/01/2018"),IF(B16="18/19",("7/01/2019"),IF(B16="19/20",("7/01/2020"),IF(B16="20/21",("7/01/2021"),IF(B16="21/22",("7/01/2022"),IF(B16="22/23",("7/01/2023"))))))))))</f>
        <v>7/01/2015</v>
      </c>
      <c r="C17" s="33"/>
      <c r="D17" s="13"/>
      <c r="E17" s="13"/>
      <c r="F17" s="13"/>
      <c r="G17" s="34"/>
      <c r="H17" s="12"/>
    </row>
    <row r="18" spans="1:8">
      <c r="A18" s="6" t="s">
        <v>61</v>
      </c>
      <c r="B18" s="208">
        <f ca="1">ROUND(IF(B16="","",YEARFRAC(B15,(DATE(YEAR(B17),MONTH(B17),DAY(B17)+1)),1)*12),1)</f>
        <v>5.3</v>
      </c>
      <c r="C18" s="33"/>
      <c r="D18" s="13"/>
      <c r="E18" s="13"/>
      <c r="F18" s="13"/>
      <c r="G18" s="34"/>
      <c r="H18" s="12"/>
    </row>
    <row r="19" spans="1:8">
      <c r="A19" s="6" t="s">
        <v>64</v>
      </c>
      <c r="B19" s="208">
        <f ca="1">ROUND(YEARFRAC(B15,(DATE(YEAR(B2),MONTH(B2),DAY(B2)+1)),1)*12,1)</f>
        <v>7.3</v>
      </c>
      <c r="C19" s="33"/>
      <c r="D19" s="13"/>
      <c r="E19" s="13"/>
      <c r="F19" s="13"/>
      <c r="G19" s="34"/>
      <c r="H19" s="12"/>
    </row>
    <row r="20" spans="1:8">
      <c r="A20" s="6" t="s">
        <v>65</v>
      </c>
      <c r="B20" s="7">
        <f ca="1">IF(B18&gt;B19,0,IF(B19&gt;=B18,ROUNDDOWN((B19-B18)/12+1,0)))</f>
        <v>1</v>
      </c>
      <c r="C20" s="35"/>
      <c r="D20" s="36"/>
      <c r="E20" s="36"/>
      <c r="F20" s="36"/>
      <c r="G20" s="37"/>
      <c r="H20" s="12"/>
    </row>
    <row r="21" spans="1:8">
      <c r="A21" s="6" t="s">
        <v>120</v>
      </c>
      <c r="B21" s="199">
        <f ca="1">IF(C22=TRUE,C21,DATE(YEAR(C21)+1,MONTH(C21),DAY(C21)))</f>
        <v>42248</v>
      </c>
      <c r="C21" s="30" t="str">
        <f ca="1">IF(B16="14/15",("09/01/2014"),IF(B16="15/16",("09/01/2015"),IF(B16="16/17",("09/01/2016"),IF(B16="17/18",("09/1/2017")))))</f>
        <v>09/01/2014</v>
      </c>
      <c r="D21" s="31"/>
      <c r="E21" s="31"/>
      <c r="F21" s="31"/>
      <c r="G21" s="32"/>
      <c r="H21" s="12"/>
    </row>
    <row r="22" spans="1:8">
      <c r="A22" s="6" t="s">
        <v>121</v>
      </c>
      <c r="B22" s="7">
        <f ca="1">ROUND(IF(B16="","",YEARFRAC(B15,(DATE(YEAR(B21),MONTH(B21),DAY(B21)+1)),1)*12),1)</f>
        <v>7.3</v>
      </c>
      <c r="C22" s="33" t="b">
        <f ca="1">(DATE(YEAR(C21),MONTH(C21),DAY(C21))&gt;(DATE(YEAR(B15),MONTH(B15),DAY(B15))))</f>
        <v>0</v>
      </c>
      <c r="D22" s="13"/>
      <c r="E22" s="13"/>
      <c r="F22" s="13"/>
      <c r="G22" s="34"/>
      <c r="H22" s="12"/>
    </row>
    <row r="23" spans="1:8">
      <c r="A23" s="6" t="s">
        <v>122</v>
      </c>
      <c r="B23" s="7">
        <f ca="1">ROUND(YEARFRAC(B15,(DATE(YEAR(B2),MONTH(B2),DAY(B2)+1)),1)*12,1)</f>
        <v>7.3</v>
      </c>
      <c r="C23" s="33"/>
      <c r="D23" s="13"/>
      <c r="E23" s="13"/>
      <c r="F23" s="13"/>
      <c r="G23" s="34"/>
      <c r="H23" s="12"/>
    </row>
    <row r="24" spans="1:8">
      <c r="A24" s="6" t="s">
        <v>123</v>
      </c>
      <c r="B24" s="38">
        <f ca="1">IF(AND(B22&gt;=B23,B22&lt;5),0,(IF(AND(B22&gt;=B23,B22&gt;=5),1,(IF(AND(B23&gt;B22,B22&gt;=5),ROUND((B23-B22)/12+1,0),((ROUND((B23-B22)/12,0))))))))</f>
        <v>1</v>
      </c>
      <c r="C24" s="35"/>
      <c r="D24" s="36"/>
      <c r="E24" s="36"/>
      <c r="F24" s="36"/>
      <c r="G24" s="37"/>
      <c r="H24" s="12"/>
    </row>
    <row r="25" spans="1:8">
      <c r="A25" s="6" t="s">
        <v>136</v>
      </c>
      <c r="B25" s="7"/>
      <c r="C25" s="7">
        <f>IF(MONTH(C2)=7,9,IF(MONTH(C2)=8,9,IF(MONTH(C2)=9,9,IF(MONTH(C2)=10,9,IF(MONTH(C2)=11,8,IF(MONTH(C2)=12,7,IF(MONTH(C2)=1,6,IF(MONTH(C2)=2,5,IF(MONTH(C2)=3,4,IF(MONTH(C2)=4,3,IF(MONTH(C2)=5,2,IF(MONTH(C2)=6,1))))))))))))</f>
        <v>9</v>
      </c>
      <c r="D25" s="7">
        <f>IF(D2="",0,(IF(MONTH(D2)=7,9,IF(MONTH(D2)=8,9,IF(MONTH(D2)=9,9,IF(MONTH(D2)=10,9,IF(MONTH(D2)=11,8,IF(MONTH(D2)=12,7,IF(MONTH(D2)=1,6,IF(MONTH(D2)=2,5,IF(MONTH(D2)=3,4,IF(MONTH(D2)=4,3,IF(MONTH(D2)=5,2,IF(MONTH(D2)=6,1))))))))))))))</f>
        <v>9</v>
      </c>
      <c r="E25" s="7">
        <f>IF(E2="",0,(IF(MONTH(E2)=7,9,IF(MONTH(E2)=8,9,IF(MONTH(E2)=9,9,IF(MONTH(E2)=10,9,IF(MONTH(E2)=11,8,IF(MONTH(E2)=12,7,IF(MONTH(E2)=1,6,IF(MONTH(E2)=2,5,IF(MONTH(E2)=3,4,IF(MONTH(E2)=4,3,IF(MONTH(E2)=5,2,IF(MONTH(E2)=6,1))))))))))))))</f>
        <v>9</v>
      </c>
      <c r="F25" s="7">
        <f>IF(F2="",0,(IF(MONTH(F2)=7,9,IF(MONTH(F2)=8,9,IF(MONTH(F2)=9,9,IF(MONTH(F2)=10,9,IF(MONTH(F2)=11,8,IF(MONTH(F2)=12,7,IF(MONTH(F2)=1,6,IF(MONTH(F2)=2,5,IF(MONTH(F2)=3,4,IF(MONTH(F2)=4,3,IF(MONTH(F2)=5,2,IF(MONTH(F2)=6,1))))))))))))))</f>
        <v>0</v>
      </c>
      <c r="G25" s="7">
        <f>IF(G4="",0,(IF(MONTH(G2)=7,9,IF(MONTH(G2)=8,9,IF(MONTH(G2)=9,9,IF(MONTH(G2)=10,9,IF(MONTH(G2)=11,9,IF(MONTH(G2)=12,9,IF(MONTH(G2)=1,6,IF(MONTH(G2)=2,6,IF(MONTH(G2)=3,3,IF(MONTH(G2)=4,3,IF(MONTH(G2)=5,3,IF(MONTH(G2)=6,0))))))))))))))</f>
        <v>0</v>
      </c>
      <c r="H25" s="12"/>
    </row>
    <row r="26" spans="1:8">
      <c r="A26" s="6" t="s">
        <v>137</v>
      </c>
      <c r="B26" s="7"/>
      <c r="C26" s="14">
        <f>9-C25</f>
        <v>0</v>
      </c>
      <c r="D26" s="14">
        <f>IF(D4="",0,9-D25)</f>
        <v>0</v>
      </c>
      <c r="E26" s="14">
        <f>IF(E4="",0,9-E25)</f>
        <v>0</v>
      </c>
      <c r="F26" s="14">
        <f>IF(F4="",0,9-F25)</f>
        <v>0</v>
      </c>
      <c r="G26" s="14">
        <f>IF(G4="",0,9-G25)</f>
        <v>0</v>
      </c>
      <c r="H26" s="12"/>
    </row>
    <row r="27" spans="1:8">
      <c r="A27" s="6" t="s">
        <v>138</v>
      </c>
      <c r="B27" s="7"/>
      <c r="C27" s="7">
        <f>IF(C5&lt;C25,C5,C25)</f>
        <v>9</v>
      </c>
      <c r="D27" s="7">
        <f>IF(D5&lt;D25,D5,D25)</f>
        <v>9</v>
      </c>
      <c r="E27" s="7">
        <f t="shared" ref="E27:G27" si="6">IF(E5&lt;E25,E5,E25)</f>
        <v>9</v>
      </c>
      <c r="F27" s="7">
        <f t="shared" si="6"/>
        <v>0</v>
      </c>
      <c r="G27" s="7">
        <f t="shared" si="6"/>
        <v>0</v>
      </c>
      <c r="H27" s="12"/>
    </row>
    <row r="28" spans="1:8">
      <c r="A28" s="6" t="s">
        <v>139</v>
      </c>
      <c r="B28" s="5"/>
      <c r="C28" s="7">
        <f>IF(C5&lt;C25,0,IF(C5&lt;C25+C26,C5-C25,C26))</f>
        <v>0</v>
      </c>
      <c r="D28" s="7">
        <f>IF(D4="",0,IF(D5&lt;D25,0,IF(D5&lt;D25+D26,D5-D25,D26)))</f>
        <v>0</v>
      </c>
      <c r="E28" s="7">
        <f>IF(E4="",0,IF(E5&lt;E25,0,IF(E5&lt;E25+E26,E5-E25,E26)))</f>
        <v>0</v>
      </c>
      <c r="F28" s="7">
        <f>IF(F4="",0,IF(F5&lt;F25,0,IF(F5&lt;F25+F26,F5-F25,F26)))</f>
        <v>0</v>
      </c>
      <c r="G28" s="7">
        <f>IF(G4="",0,(IF(G5&lt;G25,0,IF(G5&lt;G25+G26,G5-G25,G26))))</f>
        <v>0</v>
      </c>
      <c r="H28" s="12"/>
    </row>
    <row r="29" spans="1:8">
      <c r="A29" s="6" t="s">
        <v>141</v>
      </c>
      <c r="B29" s="5"/>
      <c r="C29" s="7">
        <f>IF(C27=0,0,IF(C27&lt;=3,3,(IF(AND(C27&gt;3,C27&lt;=6),6,(IF(AND(C27&gt;6,C27&lt;=9),9))))))</f>
        <v>9</v>
      </c>
      <c r="D29" s="7">
        <f>IF(D27=0,0,IF(D27&lt;=3,3,(IF(AND(D27&gt;3,D27&lt;=6),6,(IF(AND(D27&gt;6,D27&lt;=9),9))))))</f>
        <v>9</v>
      </c>
      <c r="E29" s="7">
        <f t="shared" ref="E29:F29" si="7">IF(E27=0,0,IF(E27&lt;=3,3,(IF(AND(E27&gt;3,E27&lt;=6),6,(IF(AND(E27&gt;6,E27&lt;=9),9))))))</f>
        <v>9</v>
      </c>
      <c r="F29" s="7">
        <f t="shared" si="7"/>
        <v>0</v>
      </c>
      <c r="G29" s="7">
        <f>IF(G27=0,0,IF(G27&lt;=3,3,(IF(AND(G27&gt;3,G27&lt;=6),6,(IF(AND(G27&gt;6,G27&lt;=9),9))))))</f>
        <v>0</v>
      </c>
      <c r="H29" s="12"/>
    </row>
    <row r="30" spans="1:8">
      <c r="A30" s="6" t="s">
        <v>140</v>
      </c>
      <c r="B30" s="5"/>
      <c r="C30" s="7">
        <f>IF(C28=0,0,IF(C28&lt;=3,3,(IF(AND(C28&gt;3,C28&lt;=6),6,(IF(AND(C28&gt;6,C28&lt;=9),9))))))</f>
        <v>0</v>
      </c>
      <c r="D30" s="7">
        <f t="shared" ref="D30:G30" si="8">IF(D28=0,0,IF(D28&lt;=3,3,(IF(AND(D28&gt;3,D28&lt;=6),6,(IF(AND(D28&gt;6,D28&lt;=9),9))))))</f>
        <v>0</v>
      </c>
      <c r="E30" s="7">
        <f t="shared" si="8"/>
        <v>0</v>
      </c>
      <c r="F30" s="7">
        <f t="shared" si="8"/>
        <v>0</v>
      </c>
      <c r="G30" s="7">
        <f t="shared" si="8"/>
        <v>0</v>
      </c>
      <c r="H30" s="12"/>
    </row>
    <row r="31" spans="1:8">
      <c r="A31" s="3"/>
      <c r="B31" s="13"/>
      <c r="C31" s="29"/>
      <c r="D31" s="29"/>
      <c r="E31" s="29"/>
      <c r="F31" s="29"/>
      <c r="G31" s="29"/>
      <c r="H31" s="12"/>
    </row>
    <row r="32" spans="1:8">
      <c r="A32" s="3"/>
      <c r="B32" s="13"/>
      <c r="C32" s="29"/>
      <c r="D32" s="29"/>
      <c r="E32" s="29"/>
      <c r="F32" s="29"/>
      <c r="G32" s="29"/>
      <c r="H32" s="12"/>
    </row>
    <row r="33" spans="1:12">
      <c r="A33" s="2" t="s">
        <v>3</v>
      </c>
    </row>
    <row r="34" spans="1:12">
      <c r="A34" s="9" t="s">
        <v>30</v>
      </c>
      <c r="B34" s="10" t="s">
        <v>35</v>
      </c>
      <c r="C34" s="10" t="s">
        <v>36</v>
      </c>
      <c r="D34" s="10" t="s">
        <v>45</v>
      </c>
      <c r="E34" s="10" t="s">
        <v>37</v>
      </c>
      <c r="F34" s="10" t="s">
        <v>38</v>
      </c>
      <c r="G34" s="10" t="s">
        <v>39</v>
      </c>
      <c r="H34" s="10" t="s">
        <v>40</v>
      </c>
      <c r="I34" s="10" t="s">
        <v>41</v>
      </c>
      <c r="J34" s="10" t="s">
        <v>42</v>
      </c>
      <c r="K34" s="10" t="s">
        <v>43</v>
      </c>
      <c r="L34" s="10" t="s">
        <v>44</v>
      </c>
    </row>
    <row r="35" spans="1:12">
      <c r="A35" s="4" t="s">
        <v>16</v>
      </c>
      <c r="B35" s="4">
        <v>0.20799999999999999</v>
      </c>
      <c r="C35" s="4">
        <v>0.20899999999999999</v>
      </c>
      <c r="D35" s="4">
        <v>0.21099999999999999</v>
      </c>
      <c r="E35" s="4">
        <f t="shared" ref="E35:E43" si="9">ROUND(D35*1.03,3)</f>
        <v>0.217</v>
      </c>
      <c r="F35" s="4">
        <f t="shared" ref="F35:H35" si="10">ROUND(E35*1.03,3)</f>
        <v>0.224</v>
      </c>
      <c r="G35" s="4">
        <f t="shared" si="10"/>
        <v>0.23100000000000001</v>
      </c>
      <c r="H35" s="4">
        <f t="shared" si="10"/>
        <v>0.23799999999999999</v>
      </c>
      <c r="I35" s="4">
        <f t="shared" ref="I35:L35" si="11">ROUND(H35*1.03,3)</f>
        <v>0.245</v>
      </c>
      <c r="J35" s="4">
        <f t="shared" si="11"/>
        <v>0.252</v>
      </c>
      <c r="K35" s="4">
        <f t="shared" si="11"/>
        <v>0.26</v>
      </c>
      <c r="L35" s="4">
        <f t="shared" si="11"/>
        <v>0.26800000000000002</v>
      </c>
    </row>
    <row r="36" spans="1:12">
      <c r="A36" s="4" t="s">
        <v>17</v>
      </c>
      <c r="B36" s="4">
        <v>0.317</v>
      </c>
      <c r="C36" s="4">
        <v>0.32200000000000001</v>
      </c>
      <c r="D36" s="4">
        <v>0.32500000000000001</v>
      </c>
      <c r="E36" s="4">
        <f t="shared" si="9"/>
        <v>0.33500000000000002</v>
      </c>
      <c r="F36" s="4">
        <f t="shared" ref="F36:G43" si="12">ROUND(E36*1.03,3)</f>
        <v>0.34499999999999997</v>
      </c>
      <c r="G36" s="4">
        <f t="shared" si="12"/>
        <v>0.35499999999999998</v>
      </c>
      <c r="H36" s="4">
        <f t="shared" ref="H36:L36" si="13">ROUND(G36*1.03,3)</f>
        <v>0.36599999999999999</v>
      </c>
      <c r="I36" s="4">
        <f t="shared" si="13"/>
        <v>0.377</v>
      </c>
      <c r="J36" s="4">
        <f t="shared" si="13"/>
        <v>0.38800000000000001</v>
      </c>
      <c r="K36" s="4">
        <f t="shared" si="13"/>
        <v>0.4</v>
      </c>
      <c r="L36" s="4">
        <f t="shared" si="13"/>
        <v>0.41199999999999998</v>
      </c>
    </row>
    <row r="37" spans="1:12">
      <c r="A37" s="4" t="s">
        <v>31</v>
      </c>
      <c r="B37" s="4">
        <v>0.38300000000000001</v>
      </c>
      <c r="C37" s="4">
        <v>0.38400000000000001</v>
      </c>
      <c r="D37" s="4">
        <v>0.38500000000000001</v>
      </c>
      <c r="E37" s="4">
        <f t="shared" si="9"/>
        <v>0.39700000000000002</v>
      </c>
      <c r="F37" s="4">
        <f t="shared" si="12"/>
        <v>0.40899999999999997</v>
      </c>
      <c r="G37" s="4">
        <f t="shared" si="12"/>
        <v>0.42099999999999999</v>
      </c>
      <c r="H37" s="4">
        <f t="shared" ref="H37:L37" si="14">ROUND(G37*1.03,3)</f>
        <v>0.434</v>
      </c>
      <c r="I37" s="4">
        <f t="shared" si="14"/>
        <v>0.44700000000000001</v>
      </c>
      <c r="J37" s="4">
        <f t="shared" si="14"/>
        <v>0.46</v>
      </c>
      <c r="K37" s="4">
        <f t="shared" si="14"/>
        <v>0.47399999999999998</v>
      </c>
      <c r="L37" s="4">
        <f t="shared" si="14"/>
        <v>0.48799999999999999</v>
      </c>
    </row>
    <row r="38" spans="1:12">
      <c r="A38" s="4" t="s">
        <v>21</v>
      </c>
      <c r="B38" s="4">
        <v>0.504</v>
      </c>
      <c r="C38" s="4">
        <v>0.51700000000000002</v>
      </c>
      <c r="D38" s="4">
        <v>0.52400000000000002</v>
      </c>
      <c r="E38" s="4">
        <f t="shared" si="9"/>
        <v>0.54</v>
      </c>
      <c r="F38" s="4">
        <f t="shared" si="12"/>
        <v>0.55600000000000005</v>
      </c>
      <c r="G38" s="4">
        <f t="shared" si="12"/>
        <v>0.57299999999999995</v>
      </c>
      <c r="H38" s="4">
        <f t="shared" ref="H38:L38" si="15">ROUND(G38*1.03,3)</f>
        <v>0.59</v>
      </c>
      <c r="I38" s="4">
        <f t="shared" si="15"/>
        <v>0.60799999999999998</v>
      </c>
      <c r="J38" s="4">
        <f t="shared" si="15"/>
        <v>0.626</v>
      </c>
      <c r="K38" s="4">
        <f t="shared" si="15"/>
        <v>0.64500000000000002</v>
      </c>
      <c r="L38" s="4">
        <f t="shared" si="15"/>
        <v>0.66400000000000003</v>
      </c>
    </row>
    <row r="39" spans="1:12">
      <c r="A39" s="4" t="s">
        <v>32</v>
      </c>
      <c r="B39" s="4">
        <v>0.66400000000000003</v>
      </c>
      <c r="C39" s="4">
        <v>0.68400000000000005</v>
      </c>
      <c r="D39" s="4">
        <v>0.69</v>
      </c>
      <c r="E39" s="4">
        <f t="shared" si="9"/>
        <v>0.71099999999999997</v>
      </c>
      <c r="F39" s="4">
        <f t="shared" si="12"/>
        <v>0.73199999999999998</v>
      </c>
      <c r="G39" s="4">
        <f t="shared" si="12"/>
        <v>0.754</v>
      </c>
      <c r="H39" s="4">
        <f t="shared" ref="H39:L39" si="16">ROUND(G39*1.03,3)</f>
        <v>0.77700000000000002</v>
      </c>
      <c r="I39" s="4">
        <f t="shared" si="16"/>
        <v>0.8</v>
      </c>
      <c r="J39" s="4">
        <f t="shared" si="16"/>
        <v>0.82399999999999995</v>
      </c>
      <c r="K39" s="4">
        <f t="shared" si="16"/>
        <v>0.84899999999999998</v>
      </c>
      <c r="L39" s="4">
        <f t="shared" si="16"/>
        <v>0.874</v>
      </c>
    </row>
    <row r="40" spans="1:12">
      <c r="A40" s="4" t="s">
        <v>20</v>
      </c>
      <c r="B40" s="4">
        <v>0.16</v>
      </c>
      <c r="C40" s="4">
        <v>0.17</v>
      </c>
      <c r="D40" s="4">
        <v>0.18</v>
      </c>
      <c r="E40" s="4">
        <f t="shared" si="9"/>
        <v>0.185</v>
      </c>
      <c r="F40" s="4">
        <f t="shared" si="12"/>
        <v>0.191</v>
      </c>
      <c r="G40" s="4">
        <f t="shared" si="12"/>
        <v>0.19700000000000001</v>
      </c>
      <c r="H40" s="4">
        <f t="shared" ref="H40:L40" si="17">ROUND(G40*1.03,3)</f>
        <v>0.20300000000000001</v>
      </c>
      <c r="I40" s="4">
        <f t="shared" si="17"/>
        <v>0.20899999999999999</v>
      </c>
      <c r="J40" s="4">
        <f t="shared" si="17"/>
        <v>0.215</v>
      </c>
      <c r="K40" s="4">
        <f t="shared" si="17"/>
        <v>0.221</v>
      </c>
      <c r="L40" s="4">
        <f t="shared" si="17"/>
        <v>0.22800000000000001</v>
      </c>
    </row>
    <row r="41" spans="1:12">
      <c r="A41" s="4" t="s">
        <v>33</v>
      </c>
      <c r="B41" s="4">
        <v>1.2999999999999999E-2</v>
      </c>
      <c r="C41" s="4">
        <v>1.2999999999999999E-2</v>
      </c>
      <c r="D41" s="4">
        <v>1.2999999999999999E-2</v>
      </c>
      <c r="E41" s="4">
        <f t="shared" si="9"/>
        <v>1.2999999999999999E-2</v>
      </c>
      <c r="F41" s="4">
        <f t="shared" si="12"/>
        <v>1.2999999999999999E-2</v>
      </c>
      <c r="G41" s="4">
        <f t="shared" si="12"/>
        <v>1.2999999999999999E-2</v>
      </c>
      <c r="H41" s="4">
        <f t="shared" ref="H41:L41" si="18">ROUND(G41*1.03,3)</f>
        <v>1.2999999999999999E-2</v>
      </c>
      <c r="I41" s="4">
        <f t="shared" si="18"/>
        <v>1.2999999999999999E-2</v>
      </c>
      <c r="J41" s="4">
        <f t="shared" si="18"/>
        <v>1.2999999999999999E-2</v>
      </c>
      <c r="K41" s="4">
        <f t="shared" si="18"/>
        <v>1.2999999999999999E-2</v>
      </c>
      <c r="L41" s="4">
        <f t="shared" si="18"/>
        <v>1.2999999999999999E-2</v>
      </c>
    </row>
    <row r="42" spans="1:12">
      <c r="A42" s="4" t="s">
        <v>34</v>
      </c>
      <c r="B42" s="4">
        <v>0.104</v>
      </c>
      <c r="C42" s="4">
        <v>0.108</v>
      </c>
      <c r="D42" s="4">
        <v>0.109</v>
      </c>
      <c r="E42" s="4">
        <f t="shared" si="9"/>
        <v>0.112</v>
      </c>
      <c r="F42" s="4">
        <f t="shared" si="12"/>
        <v>0.115</v>
      </c>
      <c r="G42" s="4">
        <f t="shared" si="12"/>
        <v>0.11799999999999999</v>
      </c>
      <c r="H42" s="4">
        <f t="shared" ref="H42:L42" si="19">ROUND(G42*1.03,3)</f>
        <v>0.122</v>
      </c>
      <c r="I42" s="4">
        <f t="shared" si="19"/>
        <v>0.126</v>
      </c>
      <c r="J42" s="4">
        <f t="shared" si="19"/>
        <v>0.13</v>
      </c>
      <c r="K42" s="4">
        <f t="shared" si="19"/>
        <v>0.13400000000000001</v>
      </c>
      <c r="L42" s="4">
        <f t="shared" si="19"/>
        <v>0.13800000000000001</v>
      </c>
    </row>
    <row r="43" spans="1:12">
      <c r="A43" s="4" t="s">
        <v>23</v>
      </c>
      <c r="B43" s="4">
        <v>3.1E-2</v>
      </c>
      <c r="C43" s="4">
        <v>3.1E-2</v>
      </c>
      <c r="D43" s="4">
        <v>3.1E-2</v>
      </c>
      <c r="E43" s="4">
        <f t="shared" si="9"/>
        <v>3.2000000000000001E-2</v>
      </c>
      <c r="F43" s="4">
        <f t="shared" si="12"/>
        <v>3.3000000000000002E-2</v>
      </c>
      <c r="G43" s="4">
        <f t="shared" si="12"/>
        <v>3.4000000000000002E-2</v>
      </c>
      <c r="H43" s="4">
        <f t="shared" ref="H43:L43" si="20">ROUND(G43*1.03,3)</f>
        <v>3.5000000000000003E-2</v>
      </c>
      <c r="I43" s="4">
        <f t="shared" si="20"/>
        <v>3.5999999999999997E-2</v>
      </c>
      <c r="J43" s="4">
        <f t="shared" si="20"/>
        <v>3.6999999999999998E-2</v>
      </c>
      <c r="K43" s="4">
        <f t="shared" si="20"/>
        <v>3.7999999999999999E-2</v>
      </c>
      <c r="L43" s="4">
        <f t="shared" si="20"/>
        <v>3.9E-2</v>
      </c>
    </row>
    <row r="45" spans="1:12">
      <c r="B45" s="214" t="s">
        <v>10</v>
      </c>
      <c r="C45" s="215"/>
      <c r="D45" s="214" t="s">
        <v>11</v>
      </c>
      <c r="E45" s="215"/>
      <c r="F45" s="214" t="s">
        <v>12</v>
      </c>
      <c r="G45" s="215"/>
      <c r="H45" s="214" t="s">
        <v>25</v>
      </c>
      <c r="I45" s="215"/>
      <c r="J45" s="214" t="s">
        <v>13</v>
      </c>
      <c r="K45" s="215"/>
    </row>
    <row r="46" spans="1:12">
      <c r="A46" s="9" t="s">
        <v>46</v>
      </c>
      <c r="B46" s="11" t="s">
        <v>47</v>
      </c>
      <c r="C46" s="11" t="s">
        <v>48</v>
      </c>
      <c r="D46" s="11" t="s">
        <v>47</v>
      </c>
      <c r="E46" s="11" t="s">
        <v>48</v>
      </c>
      <c r="F46" s="11" t="s">
        <v>47</v>
      </c>
      <c r="G46" s="11" t="s">
        <v>48</v>
      </c>
      <c r="H46" s="11" t="s">
        <v>47</v>
      </c>
      <c r="I46" s="11" t="s">
        <v>48</v>
      </c>
      <c r="J46" s="11" t="s">
        <v>47</v>
      </c>
      <c r="K46" s="11" t="s">
        <v>48</v>
      </c>
    </row>
    <row r="47" spans="1:12">
      <c r="A47" s="4" t="s">
        <v>16</v>
      </c>
      <c r="B47" s="4">
        <f>IF($C$4=B$34,B35,IF(C4=C34,C35,IF(C4=D34,D35,IF(C4=E34,E35,IF(C4=F34,F35,IF(C4=G34,G35,IF(C4=H34,H35)))))))</f>
        <v>0.20899999999999999</v>
      </c>
      <c r="C47" s="4">
        <f>IF(C7=0,B47,IF(C4=B34,C35,IF(C4=C34,D35,IF(C4=D34,E35,IF(C4=E34,F35,IF(C4=F34,G35,IF(C4=G34,H35,IF(C4=H34,I35))))))))</f>
        <v>0.21099999999999999</v>
      </c>
      <c r="D47" s="4">
        <f>IF($D$4="",0,IF($D$4=$C$34,C35,IF($D$4=$D$34,D35,IF($D$4=$E$34,E35,IF($D$4=F34,$F$35,IF($D$4=G34,$G$35,IF($D$4=H34,$H$35)))))))</f>
        <v>0.21099999999999999</v>
      </c>
      <c r="E47" s="4">
        <f>IF($D$4="",0,IF($D$7=0,D47,IF($D$4=$B$34,C35,IF($D$4=$C$34,D35,IF($D$4=$D$34,E35,IF($D$4=$E$34,F35,IF($D$4=$F$34,G35,IF($D$4=$G$34,H35,IF($D$4=$H$34,I35,IF($D$4=$I$34,J35))))))))))</f>
        <v>0.217</v>
      </c>
      <c r="F47" s="4">
        <f t="shared" ref="F47:F55" si="21">IF($E$4="",0,IF($E$4=$D$34,D35,IF($E$4=$E$34,E35,IF($E$4=$F$34,F35,IF($E$4=$G$34,G35,IF($E$4=$H$34,H35,IF($E$4=I34,I35,IF($E$4=$J$34,J35))))))))</f>
        <v>0.217</v>
      </c>
      <c r="G47" s="4">
        <f>IF($E$4="",0,IF($E$7=0,F47,IF($E$4=$B$34,C35,IF($E$4=$C$34,D35,IF($E$4=$D$34,E35,IF($E$4=$E$34,F35,IF($E$4=$F$34,G35,IF($E$4=$G$34,H35,IF($E$4=$H$34,I35,IF($E$4=$I$34,J35))))))))))</f>
        <v>0.224</v>
      </c>
      <c r="H47" s="4">
        <f t="shared" ref="H47:H55" si="22">IF($F$4="",0,IF($F$4=$D$34,D35,IF($F$4=$E$34,E35,IF($F$4=$F$34,F35,IF($F$4=$G$34,G35,IF($F$4=$H$34,H35,IF($F$4=$I$34,I35,IF($F$4=$J$34,J35,IF($F$4=$K$34,K35,)))))))))</f>
        <v>0</v>
      </c>
      <c r="I47" s="4">
        <f t="shared" ref="I47:I55" si="23">IF($F$4="",0,IF($F$7=0,H47,IF($F$4=$B$34,$C$35,IF($F$4=$C$34,D35,IF($F$4=$D$34,E35,IF($F$4=$E$34,F35,IF($F$4=$F$34,G35,IF($F$4=$G$34,H35,IF($F$4=$H$34,I35,IF($F$4=$I$34,J35,IF($F$4=$J$34,K35,IF($F$4=$K$34,L35))))))))))))</f>
        <v>0</v>
      </c>
      <c r="J47" s="4">
        <f t="shared" ref="J47:J55" si="24">IF($G$4="",0,IF($G$4=$D$34,D35,IF($G$4=$E$34,E35,IF($G$4=$F$34,F35,IF($G$4=$G$34,G35,IF($G$4=$H$34,H35,IF($G$4=$I$34,I35,IF($G$4=$J$34,J35,IF($G$4=$K$34,K35,IF($G$4=$L$34,L35))))))))))</f>
        <v>0</v>
      </c>
      <c r="K47" s="4">
        <f t="shared" ref="K47:K55" si="25">IF($G$4="",0,IF($G$7=0,J47,IF($G$4=$B$34,C35,IF($G$4=$C$34,D35,IF($G$4=$D$34,E35,IF($G$4=$E$34,F35,IF($G$4=$F$34,G35,IF($G$4=$G$34,H35,IF($G$4=$H$34,I35,IF($G$4=$I$34,J35,IF($G$4=$J$34,K35,IF($G$4=$K$34,L35))))))))))))</f>
        <v>0</v>
      </c>
    </row>
    <row r="48" spans="1:12">
      <c r="A48" s="4" t="s">
        <v>17</v>
      </c>
      <c r="B48" s="4">
        <f t="shared" ref="B48:B55" si="26">IF($C$4=$B$34,B36,IF($C$4=$C$34,C36,IF($C$4=$D$34,D36,IF($C$4=$E$34,E36,IF($C$4=$F$34,F36,IF($C$4=$G$34,G36,IF($C$4=$H$34,H36)))))))</f>
        <v>0.32200000000000001</v>
      </c>
      <c r="C48" s="4">
        <f t="shared" ref="C48:C55" si="27">IF($C$7=0,B48,IF($C$4=$B$34,C36,IF($C$4=$C$34,D36,IF($C$4=$D$34,E36,IF($C$4=$E$34,F36,IF($C$4=$F$34,G36,IF($C$4=$G$34,H36,IF($C$4=$H$34,I36))))))))</f>
        <v>0.32500000000000001</v>
      </c>
      <c r="D48" s="4">
        <f t="shared" ref="D48:D55" si="28">IF($D$4="",0,IF($D$4=$C$34,C36,IF($D$4=$D$34,D36,IF($D$4=$E$34,E36,IF($D$4=$F$34,F36,IF($D$4=$G$34,G36,IF($D$4=$H$34,H36)))))))</f>
        <v>0.32500000000000001</v>
      </c>
      <c r="E48" s="4">
        <f t="shared" ref="E48:E55" si="29">IF($D$4="",0,IF($D$7=0,D48,IF($D$4=$B$34,C36,IF($D$4=$C$34,D36,IF($D$4=$D$34,E36,IF($D$4=$E$34,F36,IF($D$4=$F$34,G36,IF($D$4=$G$34,H36,IF($D$4=$H$34,I36,IF($D$4=$I$34,J36))))))))))</f>
        <v>0.33500000000000002</v>
      </c>
      <c r="F48" s="4">
        <f t="shared" si="21"/>
        <v>0.33500000000000002</v>
      </c>
      <c r="G48" s="4">
        <f t="shared" ref="G48:G55" si="30">IF($E$4="",0,IF($E$7=0,F48,IF($E$4=$B$34,C36,IF($E$4=$C$34,D36,IF($E$4=$D$34,E36,IF($E$4=$E$34,F36,IF($E$4=$F$34,G36,IF($E$4=$G$34,H36,IF($E$4=$H$34,I36,IF($E$4=$I$34,J36))))))))))</f>
        <v>0.34499999999999997</v>
      </c>
      <c r="H48" s="4">
        <f t="shared" si="22"/>
        <v>0</v>
      </c>
      <c r="I48" s="4">
        <f t="shared" si="23"/>
        <v>0</v>
      </c>
      <c r="J48" s="4">
        <f t="shared" si="24"/>
        <v>0</v>
      </c>
      <c r="K48" s="4">
        <f t="shared" si="25"/>
        <v>0</v>
      </c>
    </row>
    <row r="49" spans="1:11">
      <c r="A49" s="4" t="s">
        <v>31</v>
      </c>
      <c r="B49" s="4">
        <f t="shared" si="26"/>
        <v>0.38400000000000001</v>
      </c>
      <c r="C49" s="4">
        <f t="shared" si="27"/>
        <v>0.38500000000000001</v>
      </c>
      <c r="D49" s="4">
        <f t="shared" si="28"/>
        <v>0.38500000000000001</v>
      </c>
      <c r="E49" s="4">
        <f t="shared" si="29"/>
        <v>0.39700000000000002</v>
      </c>
      <c r="F49" s="4">
        <f t="shared" si="21"/>
        <v>0.39700000000000002</v>
      </c>
      <c r="G49" s="4">
        <f t="shared" si="30"/>
        <v>0.40899999999999997</v>
      </c>
      <c r="H49" s="4">
        <f t="shared" si="22"/>
        <v>0</v>
      </c>
      <c r="I49" s="4">
        <f t="shared" si="23"/>
        <v>0</v>
      </c>
      <c r="J49" s="4">
        <f t="shared" si="24"/>
        <v>0</v>
      </c>
      <c r="K49" s="4">
        <f t="shared" si="25"/>
        <v>0</v>
      </c>
    </row>
    <row r="50" spans="1:11">
      <c r="A50" s="4" t="s">
        <v>21</v>
      </c>
      <c r="B50" s="4">
        <f t="shared" si="26"/>
        <v>0.51700000000000002</v>
      </c>
      <c r="C50" s="4">
        <f t="shared" si="27"/>
        <v>0.52400000000000002</v>
      </c>
      <c r="D50" s="4">
        <f t="shared" si="28"/>
        <v>0.52400000000000002</v>
      </c>
      <c r="E50" s="4">
        <f t="shared" si="29"/>
        <v>0.54</v>
      </c>
      <c r="F50" s="4">
        <f t="shared" si="21"/>
        <v>0.54</v>
      </c>
      <c r="G50" s="4">
        <f t="shared" si="30"/>
        <v>0.55600000000000005</v>
      </c>
      <c r="H50" s="4">
        <f t="shared" si="22"/>
        <v>0</v>
      </c>
      <c r="I50" s="4">
        <f t="shared" si="23"/>
        <v>0</v>
      </c>
      <c r="J50" s="4">
        <f t="shared" si="24"/>
        <v>0</v>
      </c>
      <c r="K50" s="4">
        <f t="shared" si="25"/>
        <v>0</v>
      </c>
    </row>
    <row r="51" spans="1:11">
      <c r="A51" s="4" t="s">
        <v>32</v>
      </c>
      <c r="B51" s="4">
        <f t="shared" si="26"/>
        <v>0.68400000000000005</v>
      </c>
      <c r="C51" s="4">
        <f t="shared" si="27"/>
        <v>0.69</v>
      </c>
      <c r="D51" s="4">
        <f t="shared" si="28"/>
        <v>0.69</v>
      </c>
      <c r="E51" s="4">
        <f t="shared" si="29"/>
        <v>0.71099999999999997</v>
      </c>
      <c r="F51" s="4">
        <f t="shared" si="21"/>
        <v>0.71099999999999997</v>
      </c>
      <c r="G51" s="4">
        <f t="shared" si="30"/>
        <v>0.73199999999999998</v>
      </c>
      <c r="H51" s="4">
        <f t="shared" si="22"/>
        <v>0</v>
      </c>
      <c r="I51" s="4">
        <f t="shared" si="23"/>
        <v>0</v>
      </c>
      <c r="J51" s="4">
        <f t="shared" si="24"/>
        <v>0</v>
      </c>
      <c r="K51" s="4">
        <f t="shared" si="25"/>
        <v>0</v>
      </c>
    </row>
    <row r="52" spans="1:11">
      <c r="A52" s="4" t="s">
        <v>20</v>
      </c>
      <c r="B52" s="4">
        <f t="shared" si="26"/>
        <v>0.17</v>
      </c>
      <c r="C52" s="4">
        <f t="shared" si="27"/>
        <v>0.18</v>
      </c>
      <c r="D52" s="4">
        <f t="shared" si="28"/>
        <v>0.18</v>
      </c>
      <c r="E52" s="4">
        <f t="shared" si="29"/>
        <v>0.185</v>
      </c>
      <c r="F52" s="4">
        <f t="shared" si="21"/>
        <v>0.185</v>
      </c>
      <c r="G52" s="4">
        <f t="shared" si="30"/>
        <v>0.191</v>
      </c>
      <c r="H52" s="4">
        <f t="shared" si="22"/>
        <v>0</v>
      </c>
      <c r="I52" s="4">
        <f t="shared" si="23"/>
        <v>0</v>
      </c>
      <c r="J52" s="4">
        <f t="shared" si="24"/>
        <v>0</v>
      </c>
      <c r="K52" s="4">
        <f t="shared" si="25"/>
        <v>0</v>
      </c>
    </row>
    <row r="53" spans="1:11">
      <c r="A53" s="4" t="s">
        <v>33</v>
      </c>
      <c r="B53" s="4">
        <f t="shared" si="26"/>
        <v>1.2999999999999999E-2</v>
      </c>
      <c r="C53" s="4">
        <f t="shared" si="27"/>
        <v>1.2999999999999999E-2</v>
      </c>
      <c r="D53" s="20">
        <f t="shared" si="28"/>
        <v>1.2999999999999999E-2</v>
      </c>
      <c r="E53" s="20">
        <f t="shared" si="29"/>
        <v>1.2999999999999999E-2</v>
      </c>
      <c r="F53" s="20">
        <f t="shared" si="21"/>
        <v>1.2999999999999999E-2</v>
      </c>
      <c r="G53" s="20">
        <f t="shared" si="30"/>
        <v>1.2999999999999999E-2</v>
      </c>
      <c r="H53" s="4">
        <f t="shared" si="22"/>
        <v>0</v>
      </c>
      <c r="I53" s="4">
        <f t="shared" si="23"/>
        <v>0</v>
      </c>
      <c r="J53" s="4">
        <f t="shared" si="24"/>
        <v>0</v>
      </c>
      <c r="K53" s="4">
        <f t="shared" si="25"/>
        <v>0</v>
      </c>
    </row>
    <row r="54" spans="1:11">
      <c r="A54" s="4" t="s">
        <v>34</v>
      </c>
      <c r="B54" s="4">
        <f t="shared" si="26"/>
        <v>0.108</v>
      </c>
      <c r="C54" s="4">
        <f t="shared" si="27"/>
        <v>0.109</v>
      </c>
      <c r="D54" s="4">
        <f t="shared" si="28"/>
        <v>0.109</v>
      </c>
      <c r="E54" s="4">
        <f t="shared" si="29"/>
        <v>0.112</v>
      </c>
      <c r="F54" s="4">
        <f t="shared" si="21"/>
        <v>0.112</v>
      </c>
      <c r="G54" s="4">
        <f t="shared" si="30"/>
        <v>0.115</v>
      </c>
      <c r="H54" s="4">
        <f t="shared" si="22"/>
        <v>0</v>
      </c>
      <c r="I54" s="4">
        <f t="shared" si="23"/>
        <v>0</v>
      </c>
      <c r="J54" s="4">
        <f t="shared" si="24"/>
        <v>0</v>
      </c>
      <c r="K54" s="4">
        <f t="shared" si="25"/>
        <v>0</v>
      </c>
    </row>
    <row r="55" spans="1:11">
      <c r="A55" s="4" t="s">
        <v>23</v>
      </c>
      <c r="B55" s="4">
        <f t="shared" si="26"/>
        <v>3.1E-2</v>
      </c>
      <c r="C55" s="4">
        <f t="shared" si="27"/>
        <v>3.1E-2</v>
      </c>
      <c r="D55" s="4">
        <f t="shared" si="28"/>
        <v>3.1E-2</v>
      </c>
      <c r="E55" s="4">
        <f t="shared" si="29"/>
        <v>3.2000000000000001E-2</v>
      </c>
      <c r="F55" s="4">
        <f t="shared" si="21"/>
        <v>3.2000000000000001E-2</v>
      </c>
      <c r="G55" s="4">
        <f t="shared" si="30"/>
        <v>3.3000000000000002E-2</v>
      </c>
      <c r="H55" s="4">
        <f t="shared" si="22"/>
        <v>0</v>
      </c>
      <c r="I55" s="4">
        <f t="shared" si="23"/>
        <v>0</v>
      </c>
      <c r="J55" s="4">
        <f t="shared" si="24"/>
        <v>0</v>
      </c>
      <c r="K55" s="4">
        <f t="shared" si="25"/>
        <v>0</v>
      </c>
    </row>
    <row r="56" spans="1:11">
      <c r="A56" s="4" t="s">
        <v>53</v>
      </c>
      <c r="B56" s="4">
        <f>B52</f>
        <v>0.17</v>
      </c>
      <c r="C56" s="4">
        <f t="shared" ref="C56:K56" si="31">C52</f>
        <v>0.18</v>
      </c>
      <c r="D56" s="4">
        <f t="shared" si="31"/>
        <v>0.18</v>
      </c>
      <c r="E56" s="4">
        <f t="shared" si="31"/>
        <v>0.185</v>
      </c>
      <c r="F56" s="4">
        <f t="shared" si="31"/>
        <v>0.185</v>
      </c>
      <c r="G56" s="4">
        <f>G52</f>
        <v>0.191</v>
      </c>
      <c r="H56" s="4">
        <f t="shared" si="31"/>
        <v>0</v>
      </c>
      <c r="I56" s="4">
        <f t="shared" si="31"/>
        <v>0</v>
      </c>
      <c r="J56" s="4">
        <f t="shared" si="31"/>
        <v>0</v>
      </c>
      <c r="K56" s="4">
        <f t="shared" si="31"/>
        <v>0</v>
      </c>
    </row>
    <row r="58" spans="1:11">
      <c r="A58" s="9" t="s">
        <v>52</v>
      </c>
      <c r="B58" s="11" t="s">
        <v>10</v>
      </c>
      <c r="C58" s="11" t="s">
        <v>11</v>
      </c>
      <c r="D58" s="11" t="s">
        <v>12</v>
      </c>
      <c r="E58" s="11" t="s">
        <v>25</v>
      </c>
      <c r="F58" s="11" t="s">
        <v>13</v>
      </c>
    </row>
    <row r="59" spans="1:11">
      <c r="A59" s="4" t="s">
        <v>16</v>
      </c>
      <c r="B59" s="19" t="str">
        <f t="shared" ref="B59:B66" si="32">IF(B47&lt;&gt;C47,(B47*100)&amp;"/"&amp;C47*100,B47*100)</f>
        <v>20.9/21.1</v>
      </c>
      <c r="C59" s="19" t="str">
        <f>IF(D4="","",(IF(D47&lt;&gt;E47,(D47*100)&amp;"/"&amp;E47*100,D47*100)))</f>
        <v>21.1/21.7</v>
      </c>
      <c r="D59" s="19" t="str">
        <f>IF(E4="","",(IF(F47&lt;&gt;G47,(F47*100)&amp;"/"&amp;G47*100,F47*100)))</f>
        <v>21.7/22.4</v>
      </c>
      <c r="E59" s="19" t="str">
        <f>IF(F4="","",(IF(H47&lt;&gt;I47,(H47*100)&amp;"/"&amp;I47*100,H47*100)))</f>
        <v/>
      </c>
      <c r="F59" s="19" t="str">
        <f>IF(G4="","",(IF(J47&lt;&gt;K47,(J47*100)&amp;"/"&amp;K47*100,J47*100)))</f>
        <v/>
      </c>
    </row>
    <row r="60" spans="1:11">
      <c r="A60" s="4" t="s">
        <v>17</v>
      </c>
      <c r="B60" s="19" t="str">
        <f t="shared" si="32"/>
        <v>32.2/32.5</v>
      </c>
      <c r="C60" s="19" t="str">
        <f>IF(D4="","",(IF(D48&lt;&gt;E48,(D48*100)&amp;"/"&amp;E48*100,D48*100)))</f>
        <v>32.5/33.5</v>
      </c>
      <c r="D60" s="19" t="str">
        <f>IF(E4="","",(IF(F48&lt;&gt;G48,(F48*100)&amp;"/"&amp;G48*100,F48*100)))</f>
        <v>33.5/34.5</v>
      </c>
      <c r="E60" s="19" t="str">
        <f>IF(F4="","",(IF(H48&lt;&gt;I48,(H48*100)&amp;"/"&amp;I48*100,H48*100)))</f>
        <v/>
      </c>
      <c r="F60" s="19" t="str">
        <f>IF(G4="","",(IF(J48&lt;&gt;K48,(J48*100)&amp;"/"&amp;K48*100,J48*100)))</f>
        <v/>
      </c>
    </row>
    <row r="61" spans="1:11">
      <c r="A61" s="4" t="s">
        <v>31</v>
      </c>
      <c r="B61" s="19" t="str">
        <f t="shared" si="32"/>
        <v>38.4/38.5</v>
      </c>
      <c r="C61" s="19" t="str">
        <f>IF(D4="","",(IF(D49&lt;&gt;E49,(D49*100)&amp;"/"&amp;E49*100,D49*100)))</f>
        <v>38.5/39.7</v>
      </c>
      <c r="D61" s="19" t="str">
        <f>IF(E4="","",(IF(F49&lt;&gt;G49,(F49*100)&amp;"/"&amp;G49*100,F49*100)))</f>
        <v>39.7/40.9</v>
      </c>
      <c r="E61" s="19" t="str">
        <f>IF(F4="","",(IF(H49&lt;&gt;I49,(H49*100)&amp;"/"&amp;I49*100,H49*100)))</f>
        <v/>
      </c>
      <c r="F61" s="19" t="str">
        <f>IF(G4="","",(IF(J49&lt;&gt;K49,(J49*100)&amp;"/"&amp;K49*100,J49*100)))</f>
        <v/>
      </c>
    </row>
    <row r="62" spans="1:11">
      <c r="A62" s="4" t="s">
        <v>21</v>
      </c>
      <c r="B62" s="19" t="str">
        <f t="shared" si="32"/>
        <v>51.7/52.4</v>
      </c>
      <c r="C62" s="19" t="str">
        <f>IF(D4="","",(IF(D50&lt;&gt;E50,(D50*100)&amp;"/"&amp;E50*100,D50*100)))</f>
        <v>52.4/54</v>
      </c>
      <c r="D62" s="19" t="str">
        <f>IF(E4="","",(IF(F50&lt;&gt;G50,(F50*100)&amp;"/"&amp;G50*100,F50*100)))</f>
        <v>54/55.6</v>
      </c>
      <c r="E62" s="19" t="str">
        <f>IF(F4="","",(IF(H50&lt;&gt;I50,(H50*100)&amp;"/"&amp;I50*100,H50*100)))</f>
        <v/>
      </c>
      <c r="F62" s="19" t="str">
        <f>IF(G4="","",(IF(J50&lt;&gt;K50,(J50*100)&amp;"/"&amp;K50*100,J50*100)))</f>
        <v/>
      </c>
    </row>
    <row r="63" spans="1:11">
      <c r="A63" s="4" t="s">
        <v>32</v>
      </c>
      <c r="B63" s="19" t="str">
        <f t="shared" si="32"/>
        <v>68.4/69</v>
      </c>
      <c r="C63" s="19" t="str">
        <f>IF(D4="","",(IF(D51&lt;&gt;E51,(D51*100)&amp;"/"&amp;E51*100,D51*100)))</f>
        <v>69/71.1</v>
      </c>
      <c r="D63" s="19" t="str">
        <f>IF(E4="","",(IF(F51&lt;&gt;G51,(F51*100)&amp;"/"&amp;G51*100,F51*100)))</f>
        <v>71.1/73.2</v>
      </c>
      <c r="E63" s="19" t="str">
        <f>IF(F4="","",(IF(H51&lt;&gt;I51,(H51*100)&amp;"/"&amp;I51*100,H51*100)))</f>
        <v/>
      </c>
      <c r="F63" s="19" t="str">
        <f>IF(G4="","",(IF(J51&lt;&gt;K51,(J51*100)&amp;"/"&amp;K51*100,J51*100)))</f>
        <v/>
      </c>
    </row>
    <row r="64" spans="1:11">
      <c r="A64" s="4" t="s">
        <v>20</v>
      </c>
      <c r="B64" s="19" t="str">
        <f t="shared" si="32"/>
        <v>17/18</v>
      </c>
      <c r="C64" s="19" t="str">
        <f>IF(D4="","",(IF(D4="","",(IF(D52&lt;&gt;E52,(D52*100)&amp;"/"&amp;E52*100,D52*100)))))</f>
        <v>18/18.5</v>
      </c>
      <c r="D64" s="19" t="str">
        <f>IF(E4="","",(IF(F52&lt;&gt;G52,(F52*100)&amp;"/"&amp;G52*100,F52*100)))</f>
        <v>18.5/19.1</v>
      </c>
      <c r="E64" s="19" t="str">
        <f>IF(F4="","",(IF(H52&lt;&gt;I52,(H52*100)&amp;"/"&amp;I52*100,H52*100)))</f>
        <v/>
      </c>
      <c r="F64" s="19" t="str">
        <f>IF(G4="","",(IF(J52&lt;&gt;K52,(J52*100)&amp;"/"&amp;K52*100,J52*100)))</f>
        <v/>
      </c>
    </row>
    <row r="65" spans="1:12">
      <c r="A65" s="4" t="s">
        <v>33</v>
      </c>
      <c r="B65" s="19">
        <f t="shared" si="32"/>
        <v>1.3</v>
      </c>
      <c r="C65" s="19">
        <f>IF(D4="","",(IF(D53&lt;&gt;E53,(D53*100)&amp;"/"&amp;E53*100,D53*100)))</f>
        <v>1.3</v>
      </c>
      <c r="D65" s="19">
        <f>IF(E4="","",(IF(F53&lt;&gt;G53,(F53*100)&amp;"/"&amp;G53*100,F53*100)))</f>
        <v>1.3</v>
      </c>
      <c r="E65" s="19" t="str">
        <f>IF(F4="","",(IF(H53&lt;&gt;I53,(H53*100)&amp;"/"&amp;I53*100,H53*100)))</f>
        <v/>
      </c>
      <c r="F65" s="19" t="str">
        <f>IF(G4="","",(IF(J53&lt;&gt;K53,(J53*100)&amp;"/"&amp;K53*100,J53*100)))</f>
        <v/>
      </c>
    </row>
    <row r="66" spans="1:12">
      <c r="A66" s="4" t="s">
        <v>34</v>
      </c>
      <c r="B66" s="19" t="str">
        <f t="shared" si="32"/>
        <v>10.8/10.9</v>
      </c>
      <c r="C66" s="19" t="str">
        <f>IF(D4="","",(IF(D54&lt;&gt;E54,(D54*100)&amp;"/"&amp;E54*100,D54*100)))</f>
        <v>10.9/11.2</v>
      </c>
      <c r="D66" s="19" t="str">
        <f>IF(E4="","",(IF(F54&lt;&gt;G54,(F54*100)&amp;"/"&amp;G54*100,F54*100)))</f>
        <v>11.2/11.5</v>
      </c>
      <c r="E66" s="19" t="str">
        <f>IF(F4="","",(IF(H54&lt;&gt;I54,(H54*100)&amp;"/"&amp;I54*100,H54*100)))</f>
        <v/>
      </c>
      <c r="F66" s="19" t="str">
        <f>IF(G4="","",(IF(J54&lt;&gt;K54,(J54*100)&amp;"/"&amp;K54*100,J54*100)))</f>
        <v/>
      </c>
    </row>
    <row r="67" spans="1:12">
      <c r="A67" s="4" t="s">
        <v>23</v>
      </c>
      <c r="B67" s="19">
        <f>IF(B55&lt;&gt;C55,(B55*100)&amp;"/"&amp;C55*100,B55*100)</f>
        <v>3.1</v>
      </c>
      <c r="C67" s="19" t="str">
        <f>IF(D4="","",(IF(D55&lt;&gt;E55,(D55*100)&amp;"/"&amp;E55*100,D55*100)))</f>
        <v>3.1/3.2</v>
      </c>
      <c r="D67" s="19" t="str">
        <f>IF(E4="","",(IF(F55&lt;&gt;G55,(F55*100)&amp;"/"&amp;G55*100,F55*100)))</f>
        <v>3.2/3.3</v>
      </c>
      <c r="E67" s="19" t="str">
        <f>IF(F4="","",(IF(H55&lt;&gt;I55,(H55*100)&amp;"/"&amp;I55*100,H55*100)))</f>
        <v/>
      </c>
      <c r="F67" s="19" t="str">
        <f>IF(G4="","",(IF(J55&lt;&gt;K55,(J55*100)&amp;"/"&amp;K55*100,J55*100)))</f>
        <v/>
      </c>
    </row>
    <row r="68" spans="1:12">
      <c r="A68" s="4" t="s">
        <v>178</v>
      </c>
      <c r="B68" s="19" t="str">
        <f>IF(B56&lt;&gt;C56,(B56*100)&amp;"/"&amp;C56*100,B56*100)</f>
        <v>17/18</v>
      </c>
      <c r="C68" s="19" t="str">
        <f>IF(D4="","",(IF(D56&lt;&gt;E56,(D56*100)&amp;"/"&amp;E56*100,D56*100)))</f>
        <v>18/18.5</v>
      </c>
      <c r="D68" s="19" t="str">
        <f>IF(E4="","",(IF(F56&lt;&gt;G56,(F56*100)&amp;"/"&amp;G56*100,F56*100)))</f>
        <v>18.5/19.1</v>
      </c>
      <c r="E68" s="19" t="str">
        <f>IF(F4="","",(IF(H56&lt;&gt;I56,(H56*100)&amp;"/"&amp;I56*100,H56*100)))</f>
        <v/>
      </c>
      <c r="F68" s="19" t="str">
        <f>IF(G4="","",(IF(J56&lt;&gt;K56,(J56*100)&amp;"/"&amp;K56*100,J56*100)))</f>
        <v/>
      </c>
    </row>
    <row r="69" spans="1:12">
      <c r="A69" s="4" t="s">
        <v>179</v>
      </c>
      <c r="B69" s="200" t="str">
        <f>IF(C13&lt;=0.5,C56*100,B68)</f>
        <v>17/18</v>
      </c>
      <c r="C69" s="200" t="str">
        <f>IF(D13&lt;=0.5,E56*100,C68)</f>
        <v>18/18.5</v>
      </c>
      <c r="D69" s="200" t="str">
        <f>IF(E13&lt;=0.5,G56*100,D68)</f>
        <v>18.5/19.1</v>
      </c>
      <c r="E69" s="200">
        <f>IF(F13&lt;=0.5,I56*100,E68)</f>
        <v>0</v>
      </c>
      <c r="F69" s="200" t="str">
        <f>IF(G13=0.5,K56*100,F68)</f>
        <v/>
      </c>
    </row>
    <row r="70" spans="1:12">
      <c r="A70" s="4" t="s">
        <v>180</v>
      </c>
      <c r="B70" s="200">
        <f>IF(C13=1,C56*100,B69)</f>
        <v>18</v>
      </c>
      <c r="C70" s="200">
        <f>IF(D13=1,E56*100,C69)</f>
        <v>18.5</v>
      </c>
      <c r="D70" s="200">
        <f>IF(E13=1,G56*100,D69)</f>
        <v>19.100000000000001</v>
      </c>
      <c r="E70" s="200">
        <f>IF(F13=0.5,I56*100,E69)</f>
        <v>0</v>
      </c>
      <c r="F70" s="200" t="str">
        <f>IF(G13=1,K56*100,F68)</f>
        <v/>
      </c>
    </row>
    <row r="71" spans="1:12">
      <c r="A71" s="4" t="s">
        <v>54</v>
      </c>
      <c r="B71" s="19"/>
      <c r="C71" s="19"/>
      <c r="D71" s="19"/>
      <c r="E71" s="19"/>
      <c r="F71" s="19"/>
    </row>
    <row r="73" spans="1:12">
      <c r="A73" s="2" t="s">
        <v>104</v>
      </c>
    </row>
    <row r="74" spans="1:12">
      <c r="A74" s="9" t="s">
        <v>113</v>
      </c>
      <c r="B74" s="10" t="s">
        <v>35</v>
      </c>
      <c r="C74" s="10" t="s">
        <v>36</v>
      </c>
      <c r="D74" s="10" t="s">
        <v>45</v>
      </c>
      <c r="E74" s="10" t="s">
        <v>37</v>
      </c>
      <c r="F74" s="10" t="s">
        <v>38</v>
      </c>
      <c r="G74" s="10" t="s">
        <v>39</v>
      </c>
      <c r="H74" s="10" t="s">
        <v>40</v>
      </c>
      <c r="I74" s="10" t="s">
        <v>41</v>
      </c>
      <c r="J74" s="10" t="s">
        <v>42</v>
      </c>
      <c r="K74" s="10" t="s">
        <v>43</v>
      </c>
      <c r="L74" s="10" t="s">
        <v>44</v>
      </c>
    </row>
    <row r="75" spans="1:12">
      <c r="A75" s="4" t="s">
        <v>105</v>
      </c>
      <c r="B75" s="4">
        <v>0.55500000000000005</v>
      </c>
      <c r="C75" s="4">
        <v>0.56499999999999995</v>
      </c>
      <c r="D75" s="4">
        <v>0.56999999999999995</v>
      </c>
      <c r="E75" s="4">
        <v>0.56999999999999995</v>
      </c>
      <c r="F75" s="4">
        <v>0.56999999999999995</v>
      </c>
      <c r="G75" s="4">
        <v>0.56999999999999995</v>
      </c>
      <c r="H75" s="4">
        <v>0.56999999999999995</v>
      </c>
      <c r="I75" s="4">
        <v>0.56999999999999995</v>
      </c>
      <c r="J75" s="4">
        <v>0.56999999999999995</v>
      </c>
      <c r="K75" s="4">
        <v>0.56999999999999995</v>
      </c>
      <c r="L75" s="4">
        <v>0.56999999999999995</v>
      </c>
    </row>
    <row r="76" spans="1:12">
      <c r="A76" s="4" t="s">
        <v>106</v>
      </c>
      <c r="B76" s="4">
        <v>0.26</v>
      </c>
      <c r="C76" s="4">
        <v>0.26</v>
      </c>
      <c r="D76" s="4">
        <v>0.26</v>
      </c>
      <c r="E76" s="4">
        <v>0.26</v>
      </c>
      <c r="F76" s="4">
        <v>0.26</v>
      </c>
      <c r="G76" s="4">
        <v>0.26</v>
      </c>
      <c r="H76" s="4">
        <v>0.26</v>
      </c>
      <c r="I76" s="4">
        <v>0.26</v>
      </c>
      <c r="J76" s="4">
        <v>0.26</v>
      </c>
      <c r="K76" s="4">
        <v>0.26</v>
      </c>
      <c r="L76" s="4">
        <v>0.26</v>
      </c>
    </row>
    <row r="77" spans="1:12">
      <c r="A77" s="4" t="s">
        <v>107</v>
      </c>
      <c r="B77" s="4">
        <v>0.38</v>
      </c>
      <c r="C77" s="4">
        <v>0.38500000000000001</v>
      </c>
      <c r="D77" s="4">
        <v>0.39</v>
      </c>
      <c r="E77" s="4">
        <v>0.39</v>
      </c>
      <c r="F77" s="4">
        <v>0.39</v>
      </c>
      <c r="G77" s="4">
        <v>0.39</v>
      </c>
      <c r="H77" s="4">
        <v>0.39</v>
      </c>
      <c r="I77" s="4">
        <v>0.39</v>
      </c>
      <c r="J77" s="4">
        <v>0.39</v>
      </c>
      <c r="K77" s="4">
        <v>0.39</v>
      </c>
      <c r="L77" s="4">
        <v>0.39</v>
      </c>
    </row>
    <row r="78" spans="1:12">
      <c r="A78" s="4" t="s">
        <v>108</v>
      </c>
      <c r="B78" s="4">
        <v>0.245</v>
      </c>
      <c r="C78" s="4">
        <v>0.245</v>
      </c>
      <c r="D78" s="4">
        <v>0.25</v>
      </c>
      <c r="E78" s="4">
        <v>0.25</v>
      </c>
      <c r="F78" s="4">
        <v>0.25</v>
      </c>
      <c r="G78" s="4">
        <v>0.25</v>
      </c>
      <c r="H78" s="4">
        <v>0.25</v>
      </c>
      <c r="I78" s="4">
        <v>0.25</v>
      </c>
      <c r="J78" s="4">
        <v>0.25</v>
      </c>
      <c r="K78" s="4">
        <v>0.25</v>
      </c>
      <c r="L78" s="4">
        <v>0.25</v>
      </c>
    </row>
    <row r="79" spans="1:12">
      <c r="A79" s="4" t="s">
        <v>109</v>
      </c>
      <c r="B79" s="4">
        <v>0.5</v>
      </c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  <c r="I79" s="4">
        <v>0.5</v>
      </c>
      <c r="J79" s="4">
        <v>0.5</v>
      </c>
      <c r="K79" s="4">
        <v>0.5</v>
      </c>
      <c r="L79" s="4">
        <v>0.5</v>
      </c>
    </row>
    <row r="80" spans="1:12">
      <c r="A80" s="4" t="s">
        <v>110</v>
      </c>
      <c r="B80" s="4">
        <v>0.54400000000000004</v>
      </c>
      <c r="C80" s="4">
        <v>0.54400000000000004</v>
      </c>
      <c r="D80" s="4">
        <v>0.54400000000000004</v>
      </c>
      <c r="E80" s="4">
        <v>0.54400000000000004</v>
      </c>
      <c r="F80" s="4">
        <v>0.54400000000000004</v>
      </c>
      <c r="G80" s="4">
        <v>0.54400000000000004</v>
      </c>
      <c r="H80" s="4">
        <v>0.54400000000000004</v>
      </c>
      <c r="I80" s="4">
        <v>0.54400000000000004</v>
      </c>
      <c r="J80" s="4">
        <v>0.54400000000000004</v>
      </c>
      <c r="K80" s="4">
        <v>0.54400000000000004</v>
      </c>
      <c r="L80" s="4">
        <v>0.54400000000000004</v>
      </c>
    </row>
    <row r="81" spans="1:12">
      <c r="A81" s="4" t="s">
        <v>111</v>
      </c>
      <c r="B81" s="4">
        <v>0.89</v>
      </c>
      <c r="C81" s="4">
        <v>0.89</v>
      </c>
      <c r="D81" s="4">
        <v>0.89</v>
      </c>
      <c r="E81" s="4">
        <v>0.89</v>
      </c>
      <c r="F81" s="4">
        <v>0.89</v>
      </c>
      <c r="G81" s="4">
        <v>0.89</v>
      </c>
      <c r="H81" s="4">
        <v>0.89</v>
      </c>
      <c r="I81" s="4">
        <v>0.89</v>
      </c>
      <c r="J81" s="4">
        <v>0.89</v>
      </c>
      <c r="K81" s="4">
        <v>0.89</v>
      </c>
      <c r="L81" s="4">
        <v>0.89</v>
      </c>
    </row>
    <row r="82" spans="1:12">
      <c r="A82" s="4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4" spans="1:12">
      <c r="A84" s="9" t="s">
        <v>113</v>
      </c>
      <c r="B84" s="214" t="s">
        <v>10</v>
      </c>
      <c r="C84" s="215"/>
      <c r="D84" s="214" t="s">
        <v>11</v>
      </c>
      <c r="E84" s="215"/>
      <c r="F84" s="214" t="s">
        <v>12</v>
      </c>
      <c r="G84" s="215"/>
      <c r="H84" s="214" t="s">
        <v>25</v>
      </c>
      <c r="I84" s="215"/>
      <c r="J84" s="214" t="s">
        <v>13</v>
      </c>
      <c r="K84" s="215"/>
    </row>
    <row r="85" spans="1:12">
      <c r="A85" s="9"/>
      <c r="B85" s="11" t="s">
        <v>47</v>
      </c>
      <c r="C85" s="11" t="s">
        <v>48</v>
      </c>
      <c r="D85" s="11" t="s">
        <v>47</v>
      </c>
      <c r="E85" s="11" t="s">
        <v>48</v>
      </c>
      <c r="F85" s="11" t="s">
        <v>47</v>
      </c>
      <c r="G85" s="11" t="s">
        <v>48</v>
      </c>
      <c r="H85" s="11" t="s">
        <v>47</v>
      </c>
      <c r="I85" s="11" t="s">
        <v>48</v>
      </c>
      <c r="J85" s="11" t="s">
        <v>47</v>
      </c>
      <c r="K85" s="11" t="s">
        <v>48</v>
      </c>
    </row>
    <row r="86" spans="1:12">
      <c r="A86" s="4" t="s">
        <v>105</v>
      </c>
      <c r="B86" s="4">
        <f>IF($C$4=$B$74,$B$75,IF($C$4=$C$74,$C$75,$D$75))</f>
        <v>0.56499999999999995</v>
      </c>
      <c r="C86" s="4">
        <f>IF($C$7=0,$B$86,IF($C$4=$B$74,$C$75,$D$75))</f>
        <v>0.56999999999999995</v>
      </c>
      <c r="D86" s="4">
        <f>IF($D$4=$B$74,$B$75,IF($D$4=$C$74,$C$75,$D$75))</f>
        <v>0.56999999999999995</v>
      </c>
      <c r="E86" s="4">
        <f>IF($D$7=0,$D$86,IF($D$4=$B$74,$C$75,$D$75))</f>
        <v>0.56999999999999995</v>
      </c>
      <c r="F86" s="4">
        <f>IF($E$4=$B$74,$B$75,IF($E$4=$C$74,$C$75,$D$75))</f>
        <v>0.56999999999999995</v>
      </c>
      <c r="G86" s="4">
        <f>IF($E$7=0,$F$86,IF($E$4=$B$74,$C$75,$D$75))</f>
        <v>0.56999999999999995</v>
      </c>
      <c r="H86" s="4">
        <f>IF($F$4=$B$74,$B$75,IF($F$4=$C$74,$C$75,$D$75))</f>
        <v>0.56999999999999995</v>
      </c>
      <c r="I86" s="4">
        <f>IF($F$7=0,$H$86,IF($F$4=$B$74,$C$75,$D$75))</f>
        <v>0.56999999999999995</v>
      </c>
      <c r="J86" s="4">
        <f>IF($G$4=$B$74,$B$75,IF($G$4=$C$74,$C$75,$D$75))</f>
        <v>0.56999999999999995</v>
      </c>
      <c r="K86" s="4">
        <f>IF($G$7=0,$J$86,IF($G$4=$B$74,$C$75,$D$75))</f>
        <v>0.56999999999999995</v>
      </c>
    </row>
    <row r="87" spans="1:12">
      <c r="A87" s="4" t="s">
        <v>106</v>
      </c>
      <c r="B87" s="4">
        <v>0.26</v>
      </c>
      <c r="C87" s="4">
        <v>0.26</v>
      </c>
      <c r="D87" s="4">
        <v>0.26</v>
      </c>
      <c r="E87" s="4">
        <v>0.26</v>
      </c>
      <c r="F87" s="4">
        <v>0.26</v>
      </c>
      <c r="G87" s="4">
        <v>0.26</v>
      </c>
      <c r="H87" s="4">
        <v>0.26</v>
      </c>
      <c r="I87" s="4">
        <v>0.26</v>
      </c>
      <c r="J87" s="4">
        <v>0.26</v>
      </c>
      <c r="K87" s="4">
        <v>0.26</v>
      </c>
    </row>
    <row r="88" spans="1:12">
      <c r="A88" s="4" t="s">
        <v>107</v>
      </c>
      <c r="B88" s="4">
        <f>IF($C$4=$B$74,$B$77,IF($C$4=$C$74,$C$77,$D$77))</f>
        <v>0.38500000000000001</v>
      </c>
      <c r="C88" s="4">
        <f>IF($C$7=0,$B$88,IF($C$4=$B$74,$C$77,$D$77))</f>
        <v>0.39</v>
      </c>
      <c r="D88" s="4">
        <f>IF($D$4=$B$74,$B$77,IF($D$4=$C$74,$C$77,$D$77))</f>
        <v>0.39</v>
      </c>
      <c r="E88" s="4">
        <f>IF($D$7=0,$D$88,IF($D$4=$B$74,$C$77,$D$77))</f>
        <v>0.39</v>
      </c>
      <c r="F88" s="4">
        <f>IF($E$4=$B$74,$B$77,IF($E$4=$C$74,$C$77,$D$77))</f>
        <v>0.39</v>
      </c>
      <c r="G88" s="4">
        <f>IF($E$7=0,$F$88,IF($E$4=$B$74,$C$77,$D$77))</f>
        <v>0.39</v>
      </c>
      <c r="H88" s="4">
        <f>IF($F$4=$B$74,$B$77,IF($F$4=$C$74,$C$77,$D$77))</f>
        <v>0.39</v>
      </c>
      <c r="I88" s="4">
        <f>IF($F$7=0,$H$88,IF($F$4=$B$74,$C$77,$D$77))</f>
        <v>0.39</v>
      </c>
      <c r="J88" s="4">
        <f>IF($G$4=$B$74,$B$77,IF($G$4=$C$74,$C$77,$D$77))</f>
        <v>0.39</v>
      </c>
      <c r="K88" s="4">
        <f>IF($G$7=0,$J$88,IF($G$4=$B$74,$C$77,$D$77))</f>
        <v>0.39</v>
      </c>
    </row>
    <row r="89" spans="1:12">
      <c r="A89" s="4" t="s">
        <v>108</v>
      </c>
      <c r="B89" s="4">
        <f>IF($C$4=$B$74,$B$78,IF($C$4=$C$74,$C$78,$D$78))</f>
        <v>0.245</v>
      </c>
      <c r="C89" s="4">
        <f>IF($C$7=0,$B$89,IF($C$4=$B$74,$C$78,$D$78))</f>
        <v>0.25</v>
      </c>
      <c r="D89" s="4">
        <f>IF($D$4=$B$74,$B$78,IF($D$4=$C$74,$C$78,$D$78))</f>
        <v>0.25</v>
      </c>
      <c r="E89" s="4">
        <f>IF($D$7=0,$D$89,IF($D$4=$B$74,$C$78,$D$78))</f>
        <v>0.25</v>
      </c>
      <c r="F89" s="4">
        <f>IF($E$4=$B$74,$B$78,IF($E$4=$C$74,$C$78,$D$78))</f>
        <v>0.25</v>
      </c>
      <c r="G89" s="4">
        <f>IF($E$7=0,$F$89,IF($E$4=$B$74,$C$78,$D$78))</f>
        <v>0.25</v>
      </c>
      <c r="H89" s="4">
        <f>IF($F$4=$B$74,$B$78,IF($F$4=$C$74,$C$78,$D$78))</f>
        <v>0.25</v>
      </c>
      <c r="I89" s="4">
        <f>IF($F$7=0,$H$89,IF($F$4=$B$74,$C$78,$D$78))</f>
        <v>0.25</v>
      </c>
      <c r="J89" s="4">
        <f>IF($G$4=$B$74,$B$78,IF($G$4=$C$74,$C$78,$D$78))</f>
        <v>0.25</v>
      </c>
      <c r="K89" s="4">
        <f>IF($G$7=0,$J$89,IF($G$4=$B$74,$C$78,$D$78))</f>
        <v>0.25</v>
      </c>
    </row>
    <row r="90" spans="1:12">
      <c r="A90" s="4" t="s">
        <v>109</v>
      </c>
      <c r="B90" s="4">
        <v>0.5</v>
      </c>
      <c r="C90" s="4">
        <v>0.5</v>
      </c>
      <c r="D90" s="4">
        <v>0.5</v>
      </c>
      <c r="E90" s="4">
        <v>0.5</v>
      </c>
      <c r="F90" s="4">
        <v>0.5</v>
      </c>
      <c r="G90" s="4">
        <v>0.5</v>
      </c>
      <c r="H90" s="4">
        <v>0.5</v>
      </c>
      <c r="I90" s="4">
        <v>0.5</v>
      </c>
      <c r="J90" s="4">
        <v>0.5</v>
      </c>
      <c r="K90" s="4">
        <v>0.5</v>
      </c>
    </row>
    <row r="91" spans="1:12">
      <c r="A91" s="4" t="s">
        <v>116</v>
      </c>
      <c r="B91" s="28">
        <f>Request!$L$164</f>
        <v>0.2</v>
      </c>
      <c r="C91" s="28">
        <f>Request!$L$164</f>
        <v>0.2</v>
      </c>
      <c r="D91" s="28">
        <f>Request!$L$164</f>
        <v>0.2</v>
      </c>
      <c r="E91" s="28">
        <f>Request!$L$164</f>
        <v>0.2</v>
      </c>
      <c r="F91" s="28">
        <f>Request!$L$164</f>
        <v>0.2</v>
      </c>
      <c r="G91" s="28">
        <f>Request!$L$164</f>
        <v>0.2</v>
      </c>
      <c r="H91" s="28">
        <f>Request!$L$164</f>
        <v>0.2</v>
      </c>
      <c r="I91" s="28">
        <f>Request!$L$164</f>
        <v>0.2</v>
      </c>
      <c r="J91" s="28">
        <f>Request!$L$164</f>
        <v>0.2</v>
      </c>
      <c r="K91" s="28">
        <f>Request!$L$164</f>
        <v>0.2</v>
      </c>
    </row>
    <row r="92" spans="1:12">
      <c r="A92" s="4" t="s">
        <v>110</v>
      </c>
      <c r="B92" s="4">
        <v>0.54400000000000004</v>
      </c>
      <c r="C92" s="4">
        <v>0.54400000000000004</v>
      </c>
      <c r="D92" s="4">
        <v>0.54400000000000004</v>
      </c>
      <c r="E92" s="4">
        <v>0.54400000000000004</v>
      </c>
      <c r="F92" s="4">
        <v>0.54400000000000004</v>
      </c>
      <c r="G92" s="4">
        <v>0.54400000000000004</v>
      </c>
      <c r="H92" s="4">
        <v>0.54400000000000004</v>
      </c>
      <c r="I92" s="4">
        <v>0.54400000000000004</v>
      </c>
      <c r="J92" s="4">
        <v>0.54400000000000004</v>
      </c>
      <c r="K92" s="4">
        <v>0.54400000000000004</v>
      </c>
    </row>
    <row r="93" spans="1:12">
      <c r="A93" s="4" t="s">
        <v>111</v>
      </c>
      <c r="B93" s="4">
        <v>0.89</v>
      </c>
      <c r="C93" s="4">
        <v>0.89</v>
      </c>
      <c r="D93" s="4">
        <v>0.89</v>
      </c>
      <c r="E93" s="4">
        <v>0.89</v>
      </c>
      <c r="F93" s="4">
        <v>0.89</v>
      </c>
      <c r="G93" s="4">
        <v>0.89</v>
      </c>
      <c r="H93" s="4">
        <v>0.89</v>
      </c>
      <c r="I93" s="4">
        <v>0.89</v>
      </c>
      <c r="J93" s="4">
        <v>0.89</v>
      </c>
      <c r="K93" s="4">
        <v>0.89</v>
      </c>
    </row>
    <row r="95" spans="1:12">
      <c r="A95" s="1" t="s">
        <v>124</v>
      </c>
      <c r="B95" s="214" t="s">
        <v>10</v>
      </c>
      <c r="C95" s="215"/>
      <c r="D95" s="214" t="s">
        <v>11</v>
      </c>
      <c r="E95" s="215"/>
      <c r="F95" s="214" t="s">
        <v>12</v>
      </c>
      <c r="G95" s="215"/>
      <c r="H95" s="214" t="s">
        <v>25</v>
      </c>
      <c r="I95" s="215"/>
      <c r="J95" s="214" t="s">
        <v>13</v>
      </c>
      <c r="K95" s="215"/>
    </row>
    <row r="96" spans="1:12">
      <c r="B96" s="11" t="s">
        <v>47</v>
      </c>
      <c r="C96" s="11" t="s">
        <v>48</v>
      </c>
      <c r="D96" s="11" t="s">
        <v>47</v>
      </c>
      <c r="E96" s="11" t="s">
        <v>48</v>
      </c>
      <c r="F96" s="11" t="s">
        <v>47</v>
      </c>
      <c r="G96" s="11" t="s">
        <v>48</v>
      </c>
      <c r="H96" s="11" t="s">
        <v>47</v>
      </c>
      <c r="I96" s="11" t="s">
        <v>48</v>
      </c>
      <c r="J96" s="11" t="s">
        <v>47</v>
      </c>
      <c r="K96" s="11" t="s">
        <v>48</v>
      </c>
    </row>
    <row r="97" spans="1:11">
      <c r="B97" s="209">
        <f>IF(Request!F162=Worksheet!A86,Worksheet!B86,IF(Request!F162=Worksheet!A87,Worksheet!B87,IF(Request!F162=Worksheet!A88,Worksheet!B88,IF(Request!F162=Worksheet!A89,Worksheet!B89,IF(Request!F162=Worksheet!A90,Worksheet!B90,IF(Request!F162=Worksheet!A91,Worksheet!B91))))))</f>
        <v>0.56499999999999995</v>
      </c>
      <c r="C97" s="39">
        <f>IF(Request!F162=Worksheet!A86,Worksheet!C86,IF(Request!F162=Worksheet!A87,Worksheet!C87,IF(Request!F162=Worksheet!A88,Worksheet!C88,IF(Request!F162=Worksheet!A89,Worksheet!C89,IF(Request!F162=Worksheet!A90,Worksheet!C90,IF(Request!F162=Worksheet!A91,Worksheet!C91))))))</f>
        <v>0.56999999999999995</v>
      </c>
      <c r="D97" s="39">
        <f>IF(Request!$F$162=Worksheet!$A$86,Worksheet!D86,IF(Request!$F$162=Worksheet!$A$87,Worksheet!D87,IF(Request!$F$162=Worksheet!$A$88,Worksheet!D88,IF(Request!$F$162=Worksheet!$A$89,Worksheet!D89,IF(Request!$F$162=Worksheet!$A$90,Worksheet!D90,IF(Request!$F$162=Worksheet!$A$91,Worksheet!D91))))))</f>
        <v>0.56999999999999995</v>
      </c>
      <c r="E97" s="39">
        <f>IF(Request!$F$162=Worksheet!$A$86,Worksheet!E86,IF(Request!$F$162=Worksheet!$A$87,Worksheet!E87,IF(Request!$F$162=Worksheet!$A$88,Worksheet!E88,IF(Request!$F$162=Worksheet!$A$89,Worksheet!E89,IF(Request!$F$162=Worksheet!$A$90,Worksheet!E90,IF(Request!$F$162=Worksheet!$A$91,Worksheet!E91))))))</f>
        <v>0.56999999999999995</v>
      </c>
      <c r="F97" s="39">
        <f>IF(Request!$F$162=Worksheet!$A$86,Worksheet!F86,IF(Request!$F$162=Worksheet!$A$87,Worksheet!F87,IF(Request!$F$162=Worksheet!$A$88,Worksheet!F88,IF(Request!$F$162=Worksheet!$A$89,Worksheet!F89,IF(Request!$F$162=Worksheet!$A$90,Worksheet!F90,IF(Request!$F$162=Worksheet!$A$91,Worksheet!F91))))))</f>
        <v>0.56999999999999995</v>
      </c>
      <c r="G97" s="39">
        <f>IF(Request!$F$162=Worksheet!$A$86,Worksheet!G86,IF(Request!$F$162=Worksheet!$A$87,Worksheet!G87,IF(Request!$F$162=Worksheet!$A$88,Worksheet!G88,IF(Request!$F$162=Worksheet!$A$89,Worksheet!G89,IF(Request!$F$162=Worksheet!$A$90,Worksheet!G90,IF(Request!$F$162=Worksheet!$A$91,Worksheet!G91))))))</f>
        <v>0.56999999999999995</v>
      </c>
      <c r="H97" s="39">
        <f>IF(Request!$F$162=Worksheet!$A$86,Worksheet!H86,IF(Request!$F$162=Worksheet!$A$87,Worksheet!H87,IF(Request!$F$162=Worksheet!$A$88,Worksheet!H88,IF(Request!$F$162=Worksheet!$A$89,Worksheet!H89,IF(Request!$F$162=Worksheet!$A$90,Worksheet!H90,IF(Request!$F$162=Worksheet!$A$91,Worksheet!H91))))))</f>
        <v>0.56999999999999995</v>
      </c>
      <c r="I97" s="39">
        <f>IF(Request!$F$162=Worksheet!$A$86,Worksheet!I86,IF(Request!$F$162=Worksheet!$A$87,Worksheet!I87,IF(Request!$F$162=Worksheet!$A$88,Worksheet!I88,IF(Request!$F$162=Worksheet!$A$89,Worksheet!I89,IF(Request!$F$162=Worksheet!$A$90,Worksheet!I90,IF(Request!$F$162=Worksheet!$A$91,Worksheet!I91))))))</f>
        <v>0.56999999999999995</v>
      </c>
      <c r="J97" s="39">
        <f>IF(Request!$F$162=Worksheet!$A$86,Worksheet!J86,IF(Request!$F$162=Worksheet!$A$87,Worksheet!J87,IF(Request!$F$162=Worksheet!$A$88,Worksheet!J88,IF(Request!$F$162=Worksheet!$A$89,Worksheet!J89,IF(Request!$F$162=Worksheet!$A$90,Worksheet!J90,IF(Request!$F$162=Worksheet!$A$91,Worksheet!J91))))))</f>
        <v>0.56999999999999995</v>
      </c>
      <c r="K97" s="39">
        <f>IF(Request!$F$162=Worksheet!$A$86,Worksheet!K86,IF(Request!$F$162=Worksheet!$A$87,Worksheet!K87,IF(Request!$F$162=Worksheet!$A$88,Worksheet!K88,IF(Request!$F$162=Worksheet!$A$89,Worksheet!K89,IF(Request!$F$162=Worksheet!$A$90,Worksheet!K90,IF(Request!$F$162=Worksheet!$A$91,Worksheet!K91))))))</f>
        <v>0.56999999999999995</v>
      </c>
    </row>
    <row r="98" spans="1:11">
      <c r="A98" s="1" t="s">
        <v>125</v>
      </c>
      <c r="B98" s="218" t="s">
        <v>10</v>
      </c>
      <c r="C98" s="218"/>
      <c r="D98" s="218" t="s">
        <v>11</v>
      </c>
      <c r="E98" s="218"/>
      <c r="F98" s="218" t="s">
        <v>12</v>
      </c>
      <c r="G98" s="218"/>
      <c r="H98" s="216" t="s">
        <v>25</v>
      </c>
      <c r="I98" s="217"/>
      <c r="J98" s="219" t="s">
        <v>13</v>
      </c>
      <c r="K98" s="220"/>
    </row>
    <row r="99" spans="1:11">
      <c r="B99" s="223" t="str">
        <f>IF(B97=C97,B97*100&amp;"%",B97*100&amp;"%"&amp;"/"&amp;C97*100&amp;"%")</f>
        <v>56.5%/57%</v>
      </c>
      <c r="C99" s="223"/>
      <c r="D99" s="223" t="str">
        <f>IF(D97=E97,D97*100&amp;"%",D97*100&amp;"%"&amp;"/"&amp;E97*100&amp;"%")</f>
        <v>57%</v>
      </c>
      <c r="E99" s="223"/>
      <c r="F99" s="223" t="str">
        <f>IF(F97=G97,F97*100&amp;"%",F97*100&amp;"%"&amp;"/"&amp;G97*100&amp;"%")</f>
        <v>57%</v>
      </c>
      <c r="G99" s="223"/>
      <c r="H99" s="216" t="str">
        <f>IF(H97=I97,H97*100&amp;"%",H97*100&amp;"%"&amp;"/"&amp;I97*100&amp;"%")</f>
        <v>57%</v>
      </c>
      <c r="I99" s="217"/>
      <c r="J99" s="216" t="str">
        <f>IF(J97=K97,J97*100&amp;"%",J97*100&amp;"%"&amp;"/"&amp;K97*100&amp;"%")</f>
        <v>57%</v>
      </c>
      <c r="K99" s="217"/>
    </row>
    <row r="100" spans="1:11">
      <c r="H100" s="40"/>
    </row>
    <row r="103" spans="1:11">
      <c r="A103" s="9" t="s">
        <v>126</v>
      </c>
      <c r="B103" s="4" t="s">
        <v>127</v>
      </c>
      <c r="C103" s="9" t="s">
        <v>10</v>
      </c>
      <c r="D103" s="9" t="s">
        <v>11</v>
      </c>
      <c r="E103" s="9" t="s">
        <v>12</v>
      </c>
      <c r="F103" s="9" t="s">
        <v>25</v>
      </c>
      <c r="G103" s="9" t="s">
        <v>13</v>
      </c>
      <c r="H103" s="9" t="s">
        <v>14</v>
      </c>
    </row>
    <row r="104" spans="1:11">
      <c r="A104" s="42">
        <f>Request!B99</f>
        <v>0</v>
      </c>
      <c r="B104" s="4" t="str">
        <f>IF(Request!K99="non-UC","No","Yes")</f>
        <v>No</v>
      </c>
      <c r="C104" s="4">
        <f>Request!N99</f>
        <v>0</v>
      </c>
      <c r="D104" s="4">
        <f>Request!O99</f>
        <v>0</v>
      </c>
      <c r="E104" s="4">
        <f>Request!P99</f>
        <v>0</v>
      </c>
      <c r="F104" s="4">
        <f>Request!Q99</f>
        <v>0</v>
      </c>
      <c r="G104" s="4">
        <f>Request!R99</f>
        <v>0</v>
      </c>
      <c r="H104" s="4">
        <f t="shared" ref="H104:H118" si="33">SUM(C104:G104)</f>
        <v>0</v>
      </c>
    </row>
    <row r="105" spans="1:11">
      <c r="A105" s="42">
        <f>Request!B100</f>
        <v>0</v>
      </c>
      <c r="B105" s="4" t="str">
        <f>IF(Request!K100="non-UC","No","Yes")</f>
        <v>No</v>
      </c>
      <c r="C105" s="4">
        <f>Request!N100</f>
        <v>0</v>
      </c>
      <c r="D105" s="4">
        <f>Request!O100</f>
        <v>0</v>
      </c>
      <c r="E105" s="4">
        <f>Request!P100</f>
        <v>0</v>
      </c>
      <c r="F105" s="4">
        <f>Request!Q100</f>
        <v>0</v>
      </c>
      <c r="G105" s="4">
        <f>Request!R100</f>
        <v>0</v>
      </c>
      <c r="H105" s="4">
        <f t="shared" si="33"/>
        <v>0</v>
      </c>
    </row>
    <row r="106" spans="1:11">
      <c r="A106" s="42">
        <f>Request!B101</f>
        <v>0</v>
      </c>
      <c r="B106" s="4" t="str">
        <f>IF(Request!K101="non-UC","No","Yes")</f>
        <v>No</v>
      </c>
      <c r="C106" s="4">
        <f>Request!N101</f>
        <v>0</v>
      </c>
      <c r="D106" s="4">
        <f>Request!O101</f>
        <v>0</v>
      </c>
      <c r="E106" s="4">
        <f>Request!P101</f>
        <v>0</v>
      </c>
      <c r="F106" s="4">
        <f>Request!Q101</f>
        <v>0</v>
      </c>
      <c r="G106" s="4">
        <f>Request!R101</f>
        <v>0</v>
      </c>
      <c r="H106" s="4">
        <f t="shared" si="33"/>
        <v>0</v>
      </c>
    </row>
    <row r="107" spans="1:11">
      <c r="A107" s="42">
        <f>Request!B102</f>
        <v>0</v>
      </c>
      <c r="B107" s="4" t="str">
        <f>IF(Request!K102="non-UC","No","Yes")</f>
        <v>No</v>
      </c>
      <c r="C107" s="4">
        <f>Request!N102</f>
        <v>0</v>
      </c>
      <c r="D107" s="4">
        <f>Request!O102</f>
        <v>0</v>
      </c>
      <c r="E107" s="4">
        <f>Request!P102</f>
        <v>0</v>
      </c>
      <c r="F107" s="4">
        <f>Request!Q102</f>
        <v>0</v>
      </c>
      <c r="G107" s="4">
        <f>Request!R102</f>
        <v>0</v>
      </c>
      <c r="H107" s="4">
        <f t="shared" si="33"/>
        <v>0</v>
      </c>
    </row>
    <row r="108" spans="1:11">
      <c r="A108" s="42">
        <f>Request!B103</f>
        <v>0</v>
      </c>
      <c r="B108" s="4" t="str">
        <f>IF(Request!K103="non-UC","No","Yes")</f>
        <v>No</v>
      </c>
      <c r="C108" s="4">
        <f>Request!N103</f>
        <v>0</v>
      </c>
      <c r="D108" s="4">
        <f>Request!O103</f>
        <v>0</v>
      </c>
      <c r="E108" s="4">
        <f>Request!P103</f>
        <v>0</v>
      </c>
      <c r="F108" s="4">
        <f>Request!Q103</f>
        <v>0</v>
      </c>
      <c r="G108" s="4">
        <f>Request!R103</f>
        <v>0</v>
      </c>
      <c r="H108" s="4">
        <f t="shared" si="33"/>
        <v>0</v>
      </c>
    </row>
    <row r="109" spans="1:11">
      <c r="A109" s="42">
        <f>Request!B104</f>
        <v>0</v>
      </c>
      <c r="B109" s="4" t="str">
        <f>IF(Request!K104="non-UC","No","Yes")</f>
        <v>No</v>
      </c>
      <c r="C109" s="4">
        <f>Request!N104</f>
        <v>0</v>
      </c>
      <c r="D109" s="4">
        <f>Request!O104</f>
        <v>0</v>
      </c>
      <c r="E109" s="4">
        <f>Request!P104</f>
        <v>0</v>
      </c>
      <c r="F109" s="4">
        <f>Request!Q104</f>
        <v>0</v>
      </c>
      <c r="G109" s="4">
        <f>Request!R104</f>
        <v>0</v>
      </c>
      <c r="H109" s="4">
        <f t="shared" si="33"/>
        <v>0</v>
      </c>
    </row>
    <row r="110" spans="1:11">
      <c r="A110" s="42">
        <f>Request!B105</f>
        <v>0</v>
      </c>
      <c r="B110" s="4" t="str">
        <f>IF(Request!K105="non-UC","No","Yes")</f>
        <v>Yes</v>
      </c>
      <c r="C110" s="4">
        <f>Request!N105</f>
        <v>0</v>
      </c>
      <c r="D110" s="4">
        <f>Request!O105</f>
        <v>0</v>
      </c>
      <c r="E110" s="4">
        <f>Request!P105</f>
        <v>0</v>
      </c>
      <c r="F110" s="4">
        <f>Request!Q105</f>
        <v>0</v>
      </c>
      <c r="G110" s="4">
        <f>Request!R105</f>
        <v>0</v>
      </c>
      <c r="H110" s="4">
        <f t="shared" si="33"/>
        <v>0</v>
      </c>
    </row>
    <row r="111" spans="1:11">
      <c r="A111" s="42">
        <f>Request!B106</f>
        <v>0</v>
      </c>
      <c r="B111" s="4" t="str">
        <f>IF(Request!K106="non-UC","No","Yes")</f>
        <v>No</v>
      </c>
      <c r="C111" s="4">
        <f>Request!N106</f>
        <v>0</v>
      </c>
      <c r="D111" s="4">
        <f>Request!O106</f>
        <v>0</v>
      </c>
      <c r="E111" s="4">
        <f>Request!P106</f>
        <v>0</v>
      </c>
      <c r="F111" s="4">
        <f>Request!Q106</f>
        <v>0</v>
      </c>
      <c r="G111" s="4">
        <f>Request!R106</f>
        <v>0</v>
      </c>
      <c r="H111" s="4">
        <f t="shared" si="33"/>
        <v>0</v>
      </c>
    </row>
    <row r="112" spans="1:11">
      <c r="A112" s="42">
        <f>Request!B107</f>
        <v>0</v>
      </c>
      <c r="B112" s="4" t="str">
        <f>IF(Request!K107="non-UC","No","Yes")</f>
        <v>No</v>
      </c>
      <c r="C112" s="4">
        <f>Request!N107</f>
        <v>0</v>
      </c>
      <c r="D112" s="4">
        <f>Request!O107</f>
        <v>0</v>
      </c>
      <c r="E112" s="4">
        <f>Request!P107</f>
        <v>0</v>
      </c>
      <c r="F112" s="4">
        <f>Request!Q107</f>
        <v>0</v>
      </c>
      <c r="G112" s="4">
        <f>Request!R107</f>
        <v>0</v>
      </c>
      <c r="H112" s="4">
        <f t="shared" si="33"/>
        <v>0</v>
      </c>
    </row>
    <row r="113" spans="1:8">
      <c r="A113" s="42">
        <f>Request!B108</f>
        <v>0</v>
      </c>
      <c r="B113" s="4" t="str">
        <f>IF(Request!K108="non-UC","No","Yes")</f>
        <v>No</v>
      </c>
      <c r="C113" s="4">
        <f>Request!N108</f>
        <v>0</v>
      </c>
      <c r="D113" s="4">
        <f>Request!O108</f>
        <v>0</v>
      </c>
      <c r="E113" s="4">
        <f>Request!P108</f>
        <v>0</v>
      </c>
      <c r="F113" s="4">
        <f>Request!Q108</f>
        <v>0</v>
      </c>
      <c r="G113" s="4">
        <f>Request!R108</f>
        <v>0</v>
      </c>
      <c r="H113" s="4">
        <f t="shared" si="33"/>
        <v>0</v>
      </c>
    </row>
    <row r="114" spans="1:8">
      <c r="A114" s="42">
        <f>Request!B109</f>
        <v>0</v>
      </c>
      <c r="B114" s="4" t="str">
        <f>IF(Request!K109="non-UC","No","Yes")</f>
        <v>Yes</v>
      </c>
      <c r="C114" s="4">
        <f>Request!N109</f>
        <v>0</v>
      </c>
      <c r="D114" s="4">
        <f>Request!O109</f>
        <v>0</v>
      </c>
      <c r="E114" s="4">
        <f>Request!P109</f>
        <v>0</v>
      </c>
      <c r="F114" s="4">
        <f>Request!Q109</f>
        <v>0</v>
      </c>
      <c r="G114" s="4">
        <f>Request!R109</f>
        <v>0</v>
      </c>
      <c r="H114" s="4">
        <f t="shared" si="33"/>
        <v>0</v>
      </c>
    </row>
    <row r="115" spans="1:8">
      <c r="A115" s="42">
        <f>Request!B110</f>
        <v>0</v>
      </c>
      <c r="B115" s="4" t="str">
        <f>IF(Request!K110="non-UC","No","Yes")</f>
        <v>No</v>
      </c>
      <c r="C115" s="4">
        <f>Request!N110</f>
        <v>0</v>
      </c>
      <c r="D115" s="4">
        <f>Request!O110</f>
        <v>0</v>
      </c>
      <c r="E115" s="4">
        <f>Request!P110</f>
        <v>0</v>
      </c>
      <c r="F115" s="4">
        <f>Request!Q110</f>
        <v>0</v>
      </c>
      <c r="G115" s="4">
        <f>Request!R110</f>
        <v>0</v>
      </c>
      <c r="H115" s="4">
        <f t="shared" si="33"/>
        <v>0</v>
      </c>
    </row>
    <row r="116" spans="1:8">
      <c r="A116" s="42">
        <f>Request!B111</f>
        <v>0</v>
      </c>
      <c r="B116" s="4" t="str">
        <f>IF(Request!K111="non-UC","No","Yes")</f>
        <v>Yes</v>
      </c>
      <c r="C116" s="4">
        <f>Request!N111</f>
        <v>0</v>
      </c>
      <c r="D116" s="4">
        <f>Request!O111</f>
        <v>0</v>
      </c>
      <c r="E116" s="4">
        <f>Request!P111</f>
        <v>0</v>
      </c>
      <c r="F116" s="4">
        <f>Request!Q111</f>
        <v>0</v>
      </c>
      <c r="G116" s="4">
        <f>Request!R111</f>
        <v>0</v>
      </c>
      <c r="H116" s="4">
        <f t="shared" si="33"/>
        <v>0</v>
      </c>
    </row>
    <row r="117" spans="1:8">
      <c r="A117" s="42">
        <f>Request!B112</f>
        <v>0</v>
      </c>
      <c r="B117" s="4" t="str">
        <f>IF(Request!K112="non-UC","No","Yes")</f>
        <v>No</v>
      </c>
      <c r="C117" s="4">
        <f>Request!N112</f>
        <v>0</v>
      </c>
      <c r="D117" s="4">
        <f>Request!O112</f>
        <v>0</v>
      </c>
      <c r="E117" s="4">
        <f>Request!P112</f>
        <v>0</v>
      </c>
      <c r="F117" s="4">
        <f>Request!Q112</f>
        <v>0</v>
      </c>
      <c r="G117" s="4">
        <f>Request!R112</f>
        <v>0</v>
      </c>
      <c r="H117" s="4">
        <f t="shared" si="33"/>
        <v>0</v>
      </c>
    </row>
    <row r="118" spans="1:8">
      <c r="A118" s="42">
        <f>Request!B113</f>
        <v>0</v>
      </c>
      <c r="B118" s="4" t="str">
        <f>IF(Request!K113="non-UC","No","Yes")</f>
        <v>Yes</v>
      </c>
      <c r="C118" s="4">
        <f>Request!N113</f>
        <v>0</v>
      </c>
      <c r="D118" s="4">
        <f>Request!O113</f>
        <v>0</v>
      </c>
      <c r="E118" s="4">
        <f>Request!P113</f>
        <v>0</v>
      </c>
      <c r="F118" s="4">
        <f>Request!Q113</f>
        <v>0</v>
      </c>
      <c r="G118" s="4">
        <f>Request!R113</f>
        <v>0</v>
      </c>
      <c r="H118" s="4">
        <f t="shared" si="33"/>
        <v>0</v>
      </c>
    </row>
    <row r="120" spans="1:8">
      <c r="A120" s="9" t="s">
        <v>131</v>
      </c>
      <c r="B120" s="4" t="s">
        <v>127</v>
      </c>
      <c r="C120" s="9" t="s">
        <v>10</v>
      </c>
      <c r="D120" s="9" t="s">
        <v>11</v>
      </c>
      <c r="E120" s="9" t="s">
        <v>12</v>
      </c>
      <c r="F120" s="9" t="s">
        <v>25</v>
      </c>
      <c r="G120" s="9" t="s">
        <v>13</v>
      </c>
      <c r="H120" s="9" t="s">
        <v>14</v>
      </c>
    </row>
    <row r="121" spans="1:8">
      <c r="A121" s="42">
        <f>Request!B116</f>
        <v>0</v>
      </c>
      <c r="B121" s="4" t="str">
        <f>IF(Request!K99="non-UC","No","Yes")</f>
        <v>No</v>
      </c>
      <c r="C121" s="4">
        <f>IF(B104="Yes",0,(IF(C104&gt;25000,25000,C104)))</f>
        <v>0</v>
      </c>
      <c r="D121" s="4">
        <f>IF(B121="Yes",0,IF(C104&gt;=25000,0,IF(C104+D104&gt;=25000,25000-C104,C104)))</f>
        <v>0</v>
      </c>
      <c r="E121" s="4">
        <f t="shared" ref="E121:E135" si="34">IF(B121="Yes",0,IF((C104+D104)&gt;=25000,0,IF((C104+D104+E104)&gt;=25000,25000-C104-D104,E104)))</f>
        <v>0</v>
      </c>
      <c r="F121" s="4">
        <f t="shared" ref="F121:F135" si="35">IF(B121="Yes",0,IF((C104+D104+E104)&gt;=25000,0,IF((C104+D104+E104+F104)&gt;=25000,25000-C104-D104-E104,F104)))</f>
        <v>0</v>
      </c>
      <c r="G121" s="4">
        <f t="shared" ref="G121:G135" si="36">IF(B121="Yes",0,IF((C104+D104+E104+F104)&gt;=25000,0,IF((C104+D104+E104+F104+G104)&gt;=25000,25000-C104-D104-E104-F104,G104)))</f>
        <v>0</v>
      </c>
      <c r="H121" s="4">
        <f t="shared" ref="H121:H136" si="37">SUM(C121:G121)</f>
        <v>0</v>
      </c>
    </row>
    <row r="122" spans="1:8">
      <c r="A122" s="42" t="str">
        <f>Request!B117</f>
        <v>Colin Zarzycki (National Center for Atmospheric Research)</v>
      </c>
      <c r="B122" s="4" t="str">
        <f>IF(Request!K100="non-UC","No","Yes")</f>
        <v>No</v>
      </c>
      <c r="C122" s="4">
        <f>IF(B105="Yes",0,(IF(C105&gt;25000,25000,C105)))</f>
        <v>0</v>
      </c>
      <c r="D122" s="4">
        <f t="shared" ref="D122:D135" si="38">IF(B122="Yes",0,IF(C105&gt;=25000,0,IF(C105+D105&gt;=25000,25000-C105,C105)))</f>
        <v>0</v>
      </c>
      <c r="E122" s="4">
        <f t="shared" si="34"/>
        <v>0</v>
      </c>
      <c r="F122" s="4">
        <f t="shared" si="35"/>
        <v>0</v>
      </c>
      <c r="G122" s="4">
        <f t="shared" si="36"/>
        <v>0</v>
      </c>
      <c r="H122" s="4">
        <f t="shared" si="37"/>
        <v>0</v>
      </c>
    </row>
    <row r="123" spans="1:8">
      <c r="A123" s="42">
        <f>Request!B118</f>
        <v>0</v>
      </c>
      <c r="B123" s="4" t="str">
        <f>IF(Request!K101="non-UC","No","Yes")</f>
        <v>No</v>
      </c>
      <c r="C123" s="4">
        <f t="shared" ref="C123:C135" si="39">IF(B106="Yes",0,(IF(C106&gt;25000,25000,C106)))</f>
        <v>0</v>
      </c>
      <c r="D123" s="4">
        <f t="shared" si="38"/>
        <v>0</v>
      </c>
      <c r="E123" s="4">
        <f t="shared" si="34"/>
        <v>0</v>
      </c>
      <c r="F123" s="4">
        <f t="shared" si="35"/>
        <v>0</v>
      </c>
      <c r="G123" s="4">
        <f t="shared" si="36"/>
        <v>0</v>
      </c>
      <c r="H123" s="4">
        <f t="shared" si="37"/>
        <v>0</v>
      </c>
    </row>
    <row r="124" spans="1:8">
      <c r="A124" s="42">
        <f>Request!B119</f>
        <v>0</v>
      </c>
      <c r="B124" s="4" t="str">
        <f>IF(Request!K102="non-UC","No","Yes")</f>
        <v>No</v>
      </c>
      <c r="C124" s="4">
        <f t="shared" si="39"/>
        <v>0</v>
      </c>
      <c r="D124" s="4">
        <f t="shared" si="38"/>
        <v>0</v>
      </c>
      <c r="E124" s="4">
        <f t="shared" si="34"/>
        <v>0</v>
      </c>
      <c r="F124" s="4">
        <f t="shared" si="35"/>
        <v>0</v>
      </c>
      <c r="G124" s="4">
        <f t="shared" si="36"/>
        <v>0</v>
      </c>
      <c r="H124" s="4">
        <f t="shared" si="37"/>
        <v>0</v>
      </c>
    </row>
    <row r="125" spans="1:8">
      <c r="A125" s="42">
        <f>Request!B120</f>
        <v>0</v>
      </c>
      <c r="B125" s="4" t="str">
        <f>IF(Request!K103="non-UC","No","Yes")</f>
        <v>No</v>
      </c>
      <c r="C125" s="4">
        <f t="shared" si="39"/>
        <v>0</v>
      </c>
      <c r="D125" s="4">
        <f t="shared" si="38"/>
        <v>0</v>
      </c>
      <c r="E125" s="4">
        <f t="shared" si="34"/>
        <v>0</v>
      </c>
      <c r="F125" s="4">
        <f t="shared" si="35"/>
        <v>0</v>
      </c>
      <c r="G125" s="4">
        <f t="shared" si="36"/>
        <v>0</v>
      </c>
      <c r="H125" s="4">
        <f t="shared" si="37"/>
        <v>0</v>
      </c>
    </row>
    <row r="126" spans="1:8">
      <c r="A126" s="42">
        <f>Request!B121</f>
        <v>0</v>
      </c>
      <c r="B126" s="4" t="str">
        <f>IF(Request!K104="non-UC","No","Yes")</f>
        <v>No</v>
      </c>
      <c r="C126" s="4">
        <f t="shared" si="39"/>
        <v>0</v>
      </c>
      <c r="D126" s="4">
        <f t="shared" si="38"/>
        <v>0</v>
      </c>
      <c r="E126" s="4">
        <f t="shared" si="34"/>
        <v>0</v>
      </c>
      <c r="F126" s="4">
        <f t="shared" si="35"/>
        <v>0</v>
      </c>
      <c r="G126" s="4">
        <f t="shared" si="36"/>
        <v>0</v>
      </c>
      <c r="H126" s="4">
        <f t="shared" si="37"/>
        <v>0</v>
      </c>
    </row>
    <row r="127" spans="1:8">
      <c r="A127" s="42">
        <f>Request!B122</f>
        <v>0</v>
      </c>
      <c r="B127" s="4" t="str">
        <f>IF(Request!K105="non-UC","No","Yes")</f>
        <v>Yes</v>
      </c>
      <c r="C127" s="4">
        <f t="shared" si="39"/>
        <v>0</v>
      </c>
      <c r="D127" s="4">
        <f t="shared" si="38"/>
        <v>0</v>
      </c>
      <c r="E127" s="4">
        <f t="shared" si="34"/>
        <v>0</v>
      </c>
      <c r="F127" s="4">
        <f t="shared" si="35"/>
        <v>0</v>
      </c>
      <c r="G127" s="4">
        <f t="shared" si="36"/>
        <v>0</v>
      </c>
      <c r="H127" s="4">
        <f t="shared" si="37"/>
        <v>0</v>
      </c>
    </row>
    <row r="128" spans="1:8">
      <c r="A128" s="42">
        <f>Request!B123</f>
        <v>0</v>
      </c>
      <c r="B128" s="4" t="str">
        <f>IF(Request!K106="non-UC","No","Yes")</f>
        <v>No</v>
      </c>
      <c r="C128" s="4">
        <f t="shared" si="39"/>
        <v>0</v>
      </c>
      <c r="D128" s="4">
        <f t="shared" si="38"/>
        <v>0</v>
      </c>
      <c r="E128" s="4">
        <f t="shared" si="34"/>
        <v>0</v>
      </c>
      <c r="F128" s="4">
        <f t="shared" si="35"/>
        <v>0</v>
      </c>
      <c r="G128" s="4">
        <f t="shared" si="36"/>
        <v>0</v>
      </c>
      <c r="H128" s="4">
        <f t="shared" si="37"/>
        <v>0</v>
      </c>
    </row>
    <row r="129" spans="1:8">
      <c r="A129" s="42">
        <f>Request!B124</f>
        <v>0</v>
      </c>
      <c r="B129" s="4" t="str">
        <f>IF(Request!K107="non-UC","No","Yes")</f>
        <v>No</v>
      </c>
      <c r="C129" s="4">
        <f t="shared" si="39"/>
        <v>0</v>
      </c>
      <c r="D129" s="4">
        <f t="shared" si="38"/>
        <v>0</v>
      </c>
      <c r="E129" s="4">
        <f t="shared" si="34"/>
        <v>0</v>
      </c>
      <c r="F129" s="4">
        <f t="shared" si="35"/>
        <v>0</v>
      </c>
      <c r="G129" s="4">
        <f t="shared" si="36"/>
        <v>0</v>
      </c>
      <c r="H129" s="4">
        <f t="shared" si="37"/>
        <v>0</v>
      </c>
    </row>
    <row r="130" spans="1:8">
      <c r="A130" s="42">
        <f>Request!B125</f>
        <v>0</v>
      </c>
      <c r="B130" s="4" t="str">
        <f>IF(Request!K108="non-UC","No","Yes")</f>
        <v>No</v>
      </c>
      <c r="C130" s="4">
        <f t="shared" si="39"/>
        <v>0</v>
      </c>
      <c r="D130" s="4">
        <f t="shared" si="38"/>
        <v>0</v>
      </c>
      <c r="E130" s="4">
        <f t="shared" si="34"/>
        <v>0</v>
      </c>
      <c r="F130" s="4">
        <f t="shared" si="35"/>
        <v>0</v>
      </c>
      <c r="G130" s="4">
        <f t="shared" si="36"/>
        <v>0</v>
      </c>
      <c r="H130" s="4">
        <f t="shared" si="37"/>
        <v>0</v>
      </c>
    </row>
    <row r="131" spans="1:8">
      <c r="A131" s="42">
        <f>Request!B126</f>
        <v>0</v>
      </c>
      <c r="B131" s="4" t="str">
        <f>IF(Request!K109="non-UC","No","Yes")</f>
        <v>Yes</v>
      </c>
      <c r="C131" s="4">
        <f t="shared" si="39"/>
        <v>0</v>
      </c>
      <c r="D131" s="4">
        <f t="shared" si="38"/>
        <v>0</v>
      </c>
      <c r="E131" s="4">
        <f t="shared" si="34"/>
        <v>0</v>
      </c>
      <c r="F131" s="4">
        <f t="shared" si="35"/>
        <v>0</v>
      </c>
      <c r="G131" s="4">
        <f t="shared" si="36"/>
        <v>0</v>
      </c>
      <c r="H131" s="4">
        <f t="shared" si="37"/>
        <v>0</v>
      </c>
    </row>
    <row r="132" spans="1:8">
      <c r="A132" s="42">
        <f>Request!B127</f>
        <v>0</v>
      </c>
      <c r="B132" s="4" t="str">
        <f>IF(Request!K110="non-UC","No","Yes")</f>
        <v>No</v>
      </c>
      <c r="C132" s="4">
        <f t="shared" si="39"/>
        <v>0</v>
      </c>
      <c r="D132" s="4">
        <f t="shared" si="38"/>
        <v>0</v>
      </c>
      <c r="E132" s="4">
        <f t="shared" si="34"/>
        <v>0</v>
      </c>
      <c r="F132" s="4">
        <f t="shared" si="35"/>
        <v>0</v>
      </c>
      <c r="G132" s="4">
        <f t="shared" si="36"/>
        <v>0</v>
      </c>
      <c r="H132" s="4">
        <f t="shared" si="37"/>
        <v>0</v>
      </c>
    </row>
    <row r="133" spans="1:8">
      <c r="A133" s="42">
        <f>Request!B128</f>
        <v>0</v>
      </c>
      <c r="B133" s="4" t="str">
        <f>IF(Request!K111="non-UC","No","Yes")</f>
        <v>Yes</v>
      </c>
      <c r="C133" s="4">
        <f t="shared" si="39"/>
        <v>0</v>
      </c>
      <c r="D133" s="4">
        <f t="shared" si="38"/>
        <v>0</v>
      </c>
      <c r="E133" s="4">
        <f t="shared" si="34"/>
        <v>0</v>
      </c>
      <c r="F133" s="4">
        <f t="shared" si="35"/>
        <v>0</v>
      </c>
      <c r="G133" s="4">
        <f t="shared" si="36"/>
        <v>0</v>
      </c>
      <c r="H133" s="4">
        <f t="shared" si="37"/>
        <v>0</v>
      </c>
    </row>
    <row r="134" spans="1:8">
      <c r="A134" s="42">
        <f>Request!B129</f>
        <v>0</v>
      </c>
      <c r="B134" s="4" t="str">
        <f>IF(Request!K112="non-UC","No","Yes")</f>
        <v>No</v>
      </c>
      <c r="C134" s="4">
        <f t="shared" si="39"/>
        <v>0</v>
      </c>
      <c r="D134" s="4">
        <f t="shared" si="38"/>
        <v>0</v>
      </c>
      <c r="E134" s="4">
        <f t="shared" si="34"/>
        <v>0</v>
      </c>
      <c r="F134" s="4">
        <f t="shared" si="35"/>
        <v>0</v>
      </c>
      <c r="G134" s="4">
        <f t="shared" si="36"/>
        <v>0</v>
      </c>
      <c r="H134" s="4">
        <f t="shared" si="37"/>
        <v>0</v>
      </c>
    </row>
    <row r="135" spans="1:8">
      <c r="A135" s="42">
        <f>Request!B130</f>
        <v>0</v>
      </c>
      <c r="B135" s="4" t="str">
        <f>IF(Request!K113="non-UC","No","Yes")</f>
        <v>Yes</v>
      </c>
      <c r="C135" s="4">
        <f t="shared" si="39"/>
        <v>0</v>
      </c>
      <c r="D135" s="4">
        <f t="shared" si="38"/>
        <v>0</v>
      </c>
      <c r="E135" s="4">
        <f t="shared" si="34"/>
        <v>0</v>
      </c>
      <c r="F135" s="4">
        <f t="shared" si="35"/>
        <v>0</v>
      </c>
      <c r="G135" s="4">
        <f t="shared" si="36"/>
        <v>0</v>
      </c>
      <c r="H135" s="4">
        <f t="shared" si="37"/>
        <v>0</v>
      </c>
    </row>
    <row r="136" spans="1:8">
      <c r="A136" s="222" t="s">
        <v>130</v>
      </c>
      <c r="B136" s="222"/>
      <c r="C136" s="43">
        <f>SUM(C121:C135)</f>
        <v>0</v>
      </c>
      <c r="D136" s="43">
        <f>SUM(D121:D135)</f>
        <v>0</v>
      </c>
      <c r="E136" s="43">
        <f t="shared" ref="E136:G136" si="40">SUM(E121:E135)</f>
        <v>0</v>
      </c>
      <c r="F136" s="43">
        <f t="shared" si="40"/>
        <v>0</v>
      </c>
      <c r="G136" s="43">
        <f t="shared" si="40"/>
        <v>0</v>
      </c>
      <c r="H136" s="43">
        <f t="shared" si="37"/>
        <v>0</v>
      </c>
    </row>
    <row r="138" spans="1:8">
      <c r="A138" s="9" t="s">
        <v>132</v>
      </c>
      <c r="B138" s="4" t="s">
        <v>127</v>
      </c>
      <c r="C138" s="9" t="s">
        <v>10</v>
      </c>
      <c r="D138" s="9" t="s">
        <v>11</v>
      </c>
      <c r="E138" s="9" t="s">
        <v>12</v>
      </c>
      <c r="F138" s="9" t="s">
        <v>25</v>
      </c>
      <c r="G138" s="9" t="s">
        <v>13</v>
      </c>
      <c r="H138" s="9" t="s">
        <v>14</v>
      </c>
    </row>
    <row r="139" spans="1:8">
      <c r="A139" s="42" t="str">
        <f>Request!B134</f>
        <v>Other (e.g.,filing status)</v>
      </c>
      <c r="B139" s="4" t="str">
        <f>IF(Request!K99="non-UC","No","Yes")</f>
        <v>No</v>
      </c>
      <c r="C139" s="4">
        <f>IF($B139="Yes",0,C104)</f>
        <v>0</v>
      </c>
      <c r="D139" s="4">
        <f t="shared" ref="D139:G139" si="41">IF($B139="Yes",0,D104)</f>
        <v>0</v>
      </c>
      <c r="E139" s="4">
        <f t="shared" si="41"/>
        <v>0</v>
      </c>
      <c r="F139" s="4">
        <f t="shared" si="41"/>
        <v>0</v>
      </c>
      <c r="G139" s="4">
        <f t="shared" si="41"/>
        <v>0</v>
      </c>
      <c r="H139" s="4">
        <f t="shared" ref="H139:H154" si="42">SUM(C139:G139)</f>
        <v>0</v>
      </c>
    </row>
    <row r="140" spans="1:8">
      <c r="A140" s="42">
        <f>Request!B135</f>
        <v>0</v>
      </c>
      <c r="B140" s="4" t="str">
        <f>IF(Request!K100="non-UC","No","Yes")</f>
        <v>No</v>
      </c>
      <c r="C140" s="4">
        <f t="shared" ref="C140:G153" si="43">IF($B140="Yes",0,C105)</f>
        <v>0</v>
      </c>
      <c r="D140" s="4">
        <f t="shared" si="43"/>
        <v>0</v>
      </c>
      <c r="E140" s="4">
        <f t="shared" si="43"/>
        <v>0</v>
      </c>
      <c r="F140" s="4">
        <f t="shared" si="43"/>
        <v>0</v>
      </c>
      <c r="G140" s="4">
        <f t="shared" si="43"/>
        <v>0</v>
      </c>
      <c r="H140" s="4">
        <f t="shared" si="42"/>
        <v>0</v>
      </c>
    </row>
    <row r="141" spans="1:8">
      <c r="A141" s="42">
        <f>Request!B136</f>
        <v>0</v>
      </c>
      <c r="B141" s="4" t="str">
        <f>IF(Request!K101="non-UC","No","Yes")</f>
        <v>No</v>
      </c>
      <c r="C141" s="4">
        <f t="shared" si="43"/>
        <v>0</v>
      </c>
      <c r="D141" s="4">
        <f t="shared" si="43"/>
        <v>0</v>
      </c>
      <c r="E141" s="4">
        <f t="shared" si="43"/>
        <v>0</v>
      </c>
      <c r="F141" s="4">
        <f t="shared" si="43"/>
        <v>0</v>
      </c>
      <c r="G141" s="4">
        <f t="shared" si="43"/>
        <v>0</v>
      </c>
      <c r="H141" s="4">
        <f t="shared" si="42"/>
        <v>0</v>
      </c>
    </row>
    <row r="142" spans="1:8">
      <c r="A142" s="42">
        <f>Request!B137</f>
        <v>0</v>
      </c>
      <c r="B142" s="4" t="str">
        <f>IF(Request!K102="non-UC","No","Yes")</f>
        <v>No</v>
      </c>
      <c r="C142" s="4">
        <f t="shared" si="43"/>
        <v>0</v>
      </c>
      <c r="D142" s="4">
        <f t="shared" si="43"/>
        <v>0</v>
      </c>
      <c r="E142" s="4">
        <f t="shared" si="43"/>
        <v>0</v>
      </c>
      <c r="F142" s="4">
        <f t="shared" si="43"/>
        <v>0</v>
      </c>
      <c r="G142" s="4">
        <f t="shared" si="43"/>
        <v>0</v>
      </c>
      <c r="H142" s="4">
        <f t="shared" si="42"/>
        <v>0</v>
      </c>
    </row>
    <row r="143" spans="1:8">
      <c r="A143" s="42">
        <f>Request!B138</f>
        <v>0</v>
      </c>
      <c r="B143" s="4" t="str">
        <f>IF(Request!K103="non-UC","No","Yes")</f>
        <v>No</v>
      </c>
      <c r="C143" s="4">
        <f t="shared" si="43"/>
        <v>0</v>
      </c>
      <c r="D143" s="4">
        <f t="shared" si="43"/>
        <v>0</v>
      </c>
      <c r="E143" s="4">
        <f t="shared" si="43"/>
        <v>0</v>
      </c>
      <c r="F143" s="4">
        <f t="shared" si="43"/>
        <v>0</v>
      </c>
      <c r="G143" s="4">
        <f t="shared" si="43"/>
        <v>0</v>
      </c>
      <c r="H143" s="4">
        <f t="shared" si="42"/>
        <v>0</v>
      </c>
    </row>
    <row r="144" spans="1:8">
      <c r="A144" s="42">
        <f>Request!B139</f>
        <v>0</v>
      </c>
      <c r="B144" s="4" t="str">
        <f>IF(Request!K104="non-UC","No","Yes")</f>
        <v>No</v>
      </c>
      <c r="C144" s="4">
        <f t="shared" si="43"/>
        <v>0</v>
      </c>
      <c r="D144" s="4">
        <f t="shared" si="43"/>
        <v>0</v>
      </c>
      <c r="E144" s="4">
        <f t="shared" si="43"/>
        <v>0</v>
      </c>
      <c r="F144" s="4">
        <f t="shared" si="43"/>
        <v>0</v>
      </c>
      <c r="G144" s="4">
        <f t="shared" si="43"/>
        <v>0</v>
      </c>
      <c r="H144" s="4">
        <f t="shared" si="42"/>
        <v>0</v>
      </c>
    </row>
    <row r="145" spans="1:19">
      <c r="A145" s="42">
        <f>Request!B140</f>
        <v>0</v>
      </c>
      <c r="B145" s="4" t="str">
        <f>IF(Request!K105="non-UC","No","Yes")</f>
        <v>Yes</v>
      </c>
      <c r="C145" s="4">
        <f t="shared" si="43"/>
        <v>0</v>
      </c>
      <c r="D145" s="4">
        <f t="shared" si="43"/>
        <v>0</v>
      </c>
      <c r="E145" s="4">
        <f t="shared" si="43"/>
        <v>0</v>
      </c>
      <c r="F145" s="4">
        <f t="shared" si="43"/>
        <v>0</v>
      </c>
      <c r="G145" s="4">
        <f t="shared" si="43"/>
        <v>0</v>
      </c>
      <c r="H145" s="4">
        <f t="shared" si="42"/>
        <v>0</v>
      </c>
    </row>
    <row r="146" spans="1:19">
      <c r="A146" s="42">
        <f>Request!B141</f>
        <v>0</v>
      </c>
      <c r="B146" s="4" t="str">
        <f>IF(Request!K106="non-UC","No","Yes")</f>
        <v>No</v>
      </c>
      <c r="C146" s="4">
        <f t="shared" si="43"/>
        <v>0</v>
      </c>
      <c r="D146" s="4">
        <f t="shared" si="43"/>
        <v>0</v>
      </c>
      <c r="E146" s="4">
        <f t="shared" si="43"/>
        <v>0</v>
      </c>
      <c r="F146" s="4">
        <f t="shared" si="43"/>
        <v>0</v>
      </c>
      <c r="G146" s="4">
        <f t="shared" si="43"/>
        <v>0</v>
      </c>
      <c r="H146" s="4">
        <f t="shared" si="42"/>
        <v>0</v>
      </c>
    </row>
    <row r="147" spans="1:19">
      <c r="A147" s="42">
        <f>Request!B142</f>
        <v>0</v>
      </c>
      <c r="B147" s="4" t="str">
        <f>IF(Request!K107="non-UC","No","Yes")</f>
        <v>No</v>
      </c>
      <c r="C147" s="4">
        <f t="shared" si="43"/>
        <v>0</v>
      </c>
      <c r="D147" s="4">
        <f t="shared" si="43"/>
        <v>0</v>
      </c>
      <c r="E147" s="4">
        <f t="shared" si="43"/>
        <v>0</v>
      </c>
      <c r="F147" s="4">
        <f t="shared" si="43"/>
        <v>0</v>
      </c>
      <c r="G147" s="4">
        <f t="shared" si="43"/>
        <v>0</v>
      </c>
      <c r="H147" s="4">
        <f t="shared" si="42"/>
        <v>0</v>
      </c>
    </row>
    <row r="148" spans="1:19">
      <c r="A148" s="42">
        <f>Request!B143</f>
        <v>0</v>
      </c>
      <c r="B148" s="4" t="str">
        <f>IF(Request!K108="non-UC","No","Yes")</f>
        <v>No</v>
      </c>
      <c r="C148" s="4">
        <f t="shared" si="43"/>
        <v>0</v>
      </c>
      <c r="D148" s="4">
        <f t="shared" si="43"/>
        <v>0</v>
      </c>
      <c r="E148" s="4">
        <f t="shared" si="43"/>
        <v>0</v>
      </c>
      <c r="F148" s="4">
        <f t="shared" si="43"/>
        <v>0</v>
      </c>
      <c r="G148" s="4">
        <f t="shared" si="43"/>
        <v>0</v>
      </c>
      <c r="H148" s="4">
        <f t="shared" si="42"/>
        <v>0</v>
      </c>
    </row>
    <row r="149" spans="1:19">
      <c r="A149" s="42">
        <f>Request!B144</f>
        <v>0</v>
      </c>
      <c r="B149" s="4" t="str">
        <f>IF(Request!K109="non-UC","No","Yes")</f>
        <v>Yes</v>
      </c>
      <c r="C149" s="4">
        <f t="shared" si="43"/>
        <v>0</v>
      </c>
      <c r="D149" s="4">
        <f t="shared" si="43"/>
        <v>0</v>
      </c>
      <c r="E149" s="4">
        <f t="shared" si="43"/>
        <v>0</v>
      </c>
      <c r="F149" s="4">
        <f t="shared" si="43"/>
        <v>0</v>
      </c>
      <c r="G149" s="4">
        <f t="shared" si="43"/>
        <v>0</v>
      </c>
      <c r="H149" s="4">
        <f t="shared" si="42"/>
        <v>0</v>
      </c>
    </row>
    <row r="150" spans="1:19">
      <c r="A150" s="42">
        <f>Request!B145</f>
        <v>0</v>
      </c>
      <c r="B150" s="4" t="str">
        <f>IF(Request!K110="non-UC","No","Yes")</f>
        <v>No</v>
      </c>
      <c r="C150" s="4">
        <f t="shared" si="43"/>
        <v>0</v>
      </c>
      <c r="D150" s="4">
        <f t="shared" si="43"/>
        <v>0</v>
      </c>
      <c r="E150" s="4">
        <f t="shared" si="43"/>
        <v>0</v>
      </c>
      <c r="F150" s="4">
        <f t="shared" si="43"/>
        <v>0</v>
      </c>
      <c r="G150" s="4">
        <f t="shared" si="43"/>
        <v>0</v>
      </c>
      <c r="H150" s="4">
        <f t="shared" si="42"/>
        <v>0</v>
      </c>
    </row>
    <row r="151" spans="1:19">
      <c r="A151" s="42">
        <f>Request!B146</f>
        <v>0</v>
      </c>
      <c r="B151" s="4" t="str">
        <f>IF(Request!K111="non-UC","No","Yes")</f>
        <v>Yes</v>
      </c>
      <c r="C151" s="4">
        <f t="shared" si="43"/>
        <v>0</v>
      </c>
      <c r="D151" s="4">
        <f t="shared" si="43"/>
        <v>0</v>
      </c>
      <c r="E151" s="4">
        <f t="shared" si="43"/>
        <v>0</v>
      </c>
      <c r="F151" s="4">
        <f t="shared" si="43"/>
        <v>0</v>
      </c>
      <c r="G151" s="4">
        <f t="shared" si="43"/>
        <v>0</v>
      </c>
      <c r="H151" s="4">
        <f t="shared" si="42"/>
        <v>0</v>
      </c>
    </row>
    <row r="152" spans="1:19">
      <c r="A152" s="42">
        <f>Request!B147</f>
        <v>0</v>
      </c>
      <c r="B152" s="4" t="str">
        <f>IF(Request!K112="non-UC","No","Yes")</f>
        <v>No</v>
      </c>
      <c r="C152" s="4">
        <f t="shared" si="43"/>
        <v>0</v>
      </c>
      <c r="D152" s="4">
        <f t="shared" si="43"/>
        <v>0</v>
      </c>
      <c r="E152" s="4">
        <f t="shared" si="43"/>
        <v>0</v>
      </c>
      <c r="F152" s="4">
        <f t="shared" si="43"/>
        <v>0</v>
      </c>
      <c r="G152" s="4">
        <f t="shared" si="43"/>
        <v>0</v>
      </c>
      <c r="H152" s="4">
        <f t="shared" si="42"/>
        <v>0</v>
      </c>
    </row>
    <row r="153" spans="1:19">
      <c r="A153" s="42">
        <f>Request!B148</f>
        <v>0</v>
      </c>
      <c r="B153" s="4" t="str">
        <f>IF(Request!K113="non-UC","No","Yes")</f>
        <v>Yes</v>
      </c>
      <c r="C153" s="4">
        <f t="shared" si="43"/>
        <v>0</v>
      </c>
      <c r="D153" s="4">
        <f t="shared" si="43"/>
        <v>0</v>
      </c>
      <c r="E153" s="4">
        <f t="shared" si="43"/>
        <v>0</v>
      </c>
      <c r="F153" s="4">
        <f t="shared" si="43"/>
        <v>0</v>
      </c>
      <c r="G153" s="4">
        <f t="shared" si="43"/>
        <v>0</v>
      </c>
      <c r="H153" s="4">
        <f t="shared" si="42"/>
        <v>0</v>
      </c>
    </row>
    <row r="154" spans="1:19">
      <c r="A154" s="222" t="s">
        <v>130</v>
      </c>
      <c r="B154" s="222"/>
      <c r="C154" s="43">
        <f>SUM(C139:C153)</f>
        <v>0</v>
      </c>
      <c r="D154" s="43">
        <f>SUM(D139:D153)</f>
        <v>0</v>
      </c>
      <c r="E154" s="43">
        <f t="shared" ref="E154" si="44">SUM(E139:E153)</f>
        <v>0</v>
      </c>
      <c r="F154" s="43">
        <f t="shared" ref="F154" si="45">SUM(F139:F153)</f>
        <v>0</v>
      </c>
      <c r="G154" s="43">
        <f t="shared" ref="G154" si="46">SUM(G139:G153)</f>
        <v>0</v>
      </c>
      <c r="H154" s="43">
        <f t="shared" si="42"/>
        <v>0</v>
      </c>
    </row>
    <row r="155" spans="1:19">
      <c r="A155" s="46"/>
      <c r="B155" s="46"/>
      <c r="C155" s="47"/>
      <c r="D155" s="47"/>
      <c r="E155" s="47"/>
      <c r="F155" s="47"/>
      <c r="G155" s="47"/>
      <c r="H155" s="47"/>
    </row>
    <row r="156" spans="1:19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>
      <c r="A157" s="48" t="s">
        <v>100</v>
      </c>
      <c r="B157" s="4" t="s">
        <v>115</v>
      </c>
      <c r="C157" s="43">
        <f ca="1">Request!N60+Request!N84+Request!N96+Request!N126+SUM(Request!N136:N140)+SUM(Request!N151:N158)+Worksheet!C136</f>
        <v>89344</v>
      </c>
      <c r="D157" s="43">
        <f ca="1">IF(D4="",0,(Request!O60+Request!O84+Request!O96+Request!O126+SUM(Request!O136:O140)+SUM(Request!O151:O158)+Worksheet!D136))</f>
        <v>92995</v>
      </c>
      <c r="E157" s="43">
        <f ca="1">IF(E4="",0,(Request!P60+Request!P84+Request!P96+Request!P126+SUM(Request!P136:P140)+SUM(Request!P151:P158)+Worksheet!E136))</f>
        <v>93324</v>
      </c>
      <c r="F157" s="43">
        <f>IF(F4="",0,(Request!Q60+Request!Q84+Request!Q96+Request!Q126+SUM(Request!Q136:Q140)+SUM(Request!Q151:Q158)+Worksheet!F136))</f>
        <v>0</v>
      </c>
      <c r="G157" s="43">
        <f>IF(G4="",0,(Request!R60+Request!R84+Request!R96+Request!R126+SUM(Request!R136:R140)+SUM(Request!R151:R158)+Worksheet!G136))</f>
        <v>0</v>
      </c>
      <c r="H157" s="45">
        <f ca="1">SUM(C157:G157)</f>
        <v>275663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>
      <c r="A158" s="49"/>
      <c r="B158" s="4" t="s">
        <v>133</v>
      </c>
      <c r="C158" s="45">
        <f ca="1">Request!N161-Request!N114+Worksheet!C154</f>
        <v>102990</v>
      </c>
      <c r="D158" s="45">
        <f ca="1">IF(D4="",0,(Request!O161-Request!O114+Worksheet!D154))</f>
        <v>108005.6</v>
      </c>
      <c r="E158" s="45">
        <f ca="1">IF(E4="",0,(Request!P161-Request!P114+Worksheet!E154))</f>
        <v>109835.66</v>
      </c>
      <c r="F158" s="45">
        <f>IF(F4="",0,(Request!Q161-Request!Q114+Worksheet!F154))</f>
        <v>0</v>
      </c>
      <c r="G158" s="45">
        <f>IF(G4="",0,(Request!R161-Request!R114+Worksheet!G154))</f>
        <v>0</v>
      </c>
      <c r="H158" s="45">
        <f ca="1">SUM(C158:G158)</f>
        <v>320831.26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>
      <c r="A159" s="50"/>
      <c r="B159" s="4" t="s">
        <v>134</v>
      </c>
      <c r="C159" s="43">
        <f ca="1">ROUND((Request!N161-Request!N114+Worksheet!C154)/(1-Request!$L$164),0)</f>
        <v>128738</v>
      </c>
      <c r="D159" s="43">
        <f ca="1">IF(D4="",0,(ROUND((Request!O161-Request!O114+Worksheet!D154)/(1-Request!$L$164),0)))</f>
        <v>135007</v>
      </c>
      <c r="E159" s="43">
        <f ca="1">IF(E4="",0,(ROUND((Request!P161-Request!P114+Worksheet!E154)/(1-Request!$L$164),0)))</f>
        <v>137295</v>
      </c>
      <c r="F159" s="43">
        <f>IF(F4="",0,(ROUND((Request!Q161-Request!Q114+Worksheet!F154)/(1-Request!$L$164),0)))</f>
        <v>0</v>
      </c>
      <c r="G159" s="43">
        <f>IF(G4="",0,(ROUND((Request!R161-Request!R114+Worksheet!G154)/(1-Request!$L$164),0)))</f>
        <v>0</v>
      </c>
      <c r="H159" s="45">
        <f ca="1">SUM(C159:G159)</f>
        <v>401040</v>
      </c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>
      <c r="A161" s="1" t="s">
        <v>142</v>
      </c>
      <c r="B161" s="1" t="str">
        <f>Request!D132</f>
        <v>Yes</v>
      </c>
      <c r="C161" s="1" t="str">
        <f>Request!F132</f>
        <v>AY</v>
      </c>
      <c r="D161" s="1" t="s">
        <v>143</v>
      </c>
      <c r="E161" s="3" t="s">
        <v>47</v>
      </c>
      <c r="F161" s="3" t="s">
        <v>48</v>
      </c>
      <c r="G161" s="3" t="s">
        <v>144</v>
      </c>
      <c r="H161" s="3" t="s">
        <v>145</v>
      </c>
      <c r="I161" s="87" t="s">
        <v>146</v>
      </c>
      <c r="J161" s="87" t="s">
        <v>147</v>
      </c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>
      <c r="A162" s="4" t="str">
        <f>Request!B132</f>
        <v>Resident</v>
      </c>
      <c r="B162" s="28">
        <f>Request!E132</f>
        <v>0.1</v>
      </c>
      <c r="C162" s="43">
        <f>Request!G132</f>
        <v>16541</v>
      </c>
      <c r="D162" s="43">
        <f>IF(B161="Yes",C162*0.75,C162)</f>
        <v>12405.75</v>
      </c>
      <c r="E162" s="43">
        <f ca="1">IF($C$161="AY",ROUND(D162*((1+B162)^$B$24),0))</f>
        <v>13646</v>
      </c>
      <c r="F162" s="43">
        <f ca="1">IF($C$161="AY",ROUND(D162*((1+B162)^($B$24+1)),0))</f>
        <v>15011</v>
      </c>
      <c r="G162" s="43">
        <f ca="1">IF($C$161="AY",ROUND(D162*((1+B162)^($B$24+2)),0))</f>
        <v>16512</v>
      </c>
      <c r="H162" s="43">
        <f ca="1">IF($C$161="AY",ROUND(D162*((1+B162)^($B$24+3)),0))</f>
        <v>18163</v>
      </c>
      <c r="I162" s="43">
        <f ca="1">IF($C$161="AY",ROUND(D162*((1+B162)^($B$24+4)),0))</f>
        <v>19980</v>
      </c>
      <c r="J162" s="43">
        <f ca="1">IF($C$161="AY",ROUND(D162*((1+B162)^($B$24+5)),0))</f>
        <v>21978</v>
      </c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>
      <c r="A163" s="4" t="str">
        <f>Request!B133</f>
        <v>Non-Resident</v>
      </c>
      <c r="B163" s="28">
        <f>Request!E133</f>
        <v>0.1</v>
      </c>
      <c r="C163" s="43">
        <f>Request!G133</f>
        <v>31643</v>
      </c>
      <c r="D163" s="43">
        <f>IF(B161="Yes",C163*0.75,C163)</f>
        <v>23732.25</v>
      </c>
      <c r="E163" s="43">
        <f ca="1">IF($C$161="AY",ROUND(D163*((1+B163)^$B$24),0))</f>
        <v>26105</v>
      </c>
      <c r="F163" s="43">
        <f ca="1">IF($C$161="AY",ROUND(D163*((1+B163)^($B$24+1)),0))</f>
        <v>28716</v>
      </c>
      <c r="G163" s="43">
        <f ca="1">IF($C$161="AY",ROUND(D163*((1+B163)^($B$24+2)),0))</f>
        <v>31588</v>
      </c>
      <c r="H163" s="43">
        <f ca="1">IF($C$161="AY",ROUND(D163*((1+B163)^($B$24+3)),0))</f>
        <v>34746</v>
      </c>
      <c r="I163" s="43">
        <f ca="1">IF($C$161="AY",ROUND(D163*((1+B163)^($B$24+4)),0))</f>
        <v>38221</v>
      </c>
      <c r="J163" s="43">
        <f ca="1">IF($C$161="AY",ROUND(D163*((1+B163)^($B$24+5)),0))</f>
        <v>42043</v>
      </c>
    </row>
    <row r="164" spans="1:19">
      <c r="A164" s="4" t="str">
        <f>Request!B134</f>
        <v>Other (e.g.,filing status)</v>
      </c>
      <c r="B164" s="28">
        <f>Request!E134</f>
        <v>0.1</v>
      </c>
      <c r="C164" s="43">
        <f>Request!G134</f>
        <v>8270.5</v>
      </c>
      <c r="D164" s="43">
        <f>IF(B161="Yes",C164*0.75,C164)</f>
        <v>6202.875</v>
      </c>
      <c r="E164" s="43">
        <f ca="1">IF($C$161="AY",ROUND(D164*((1+B164)^$B$24),0))</f>
        <v>6823</v>
      </c>
      <c r="F164" s="43">
        <f ca="1">IF($C$161="AY",ROUND(D164*((1+B164)^($B$24+1)),0))</f>
        <v>7505</v>
      </c>
      <c r="G164" s="43">
        <f ca="1">IF($C$161="AY",ROUND(D164*((1+B164)^($B$24+2)),0))</f>
        <v>8256</v>
      </c>
      <c r="H164" s="43">
        <f ca="1">IF($C$161="AY",ROUND(D164*((1+B164)^($B$24+3)),0))</f>
        <v>9082</v>
      </c>
      <c r="I164" s="43">
        <f ca="1">IF($C$161="AY",ROUND(D164*((1+B164)^($B$24+4)),0))</f>
        <v>9990</v>
      </c>
      <c r="J164" s="43">
        <f ca="1">IF($C$161="AY",ROUND(D164*((1+B164)^($B$24+5)),0))</f>
        <v>10989</v>
      </c>
    </row>
    <row r="165" spans="1:19">
      <c r="A165" s="4" t="s">
        <v>83</v>
      </c>
      <c r="B165" s="28"/>
      <c r="C165" s="43"/>
      <c r="D165" s="43"/>
      <c r="E165" s="43">
        <f ca="1">(ROUND((E162/(9)*C$27+F162/(9)*C$28)*Request!I132,0))</f>
        <v>0</v>
      </c>
      <c r="F165" s="43">
        <f ca="1">ROUND((F162/(9)*D$27+G162/(9)*D$28)*Request!J132,0)</f>
        <v>0</v>
      </c>
      <c r="G165" s="43">
        <f ca="1">ROUND((G162/(9)*E27+H162/(9)*E28)*Request!K132,0)</f>
        <v>0</v>
      </c>
      <c r="H165" s="43">
        <f ca="1">ROUND((H162/(9)*F27+I162/(9)*F28)*Request!L132,0)</f>
        <v>0</v>
      </c>
      <c r="I165" s="43">
        <f ca="1">ROUND((I162/(9)*G27+J162/(9)*G28)*Request!M132,0)</f>
        <v>0</v>
      </c>
      <c r="J165" s="43"/>
    </row>
    <row r="166" spans="1:19">
      <c r="A166" s="4" t="s">
        <v>84</v>
      </c>
      <c r="B166" s="28"/>
      <c r="C166" s="43"/>
      <c r="D166" s="43"/>
      <c r="E166" s="43">
        <f ca="1">ROUND((E163/(9)*C$27+F163/(9)*C$28)*Request!I133,0)</f>
        <v>0</v>
      </c>
      <c r="F166" s="43">
        <f ca="1">ROUND((F163/(9)*D$27+G163/(9)*D$28)*Request!J133,0)</f>
        <v>0</v>
      </c>
      <c r="G166" s="43">
        <f ca="1">ROUND((G163/(9)*E$27+H163/(9)*E$28)*Request!K133,0)</f>
        <v>0</v>
      </c>
      <c r="H166" s="43">
        <f ca="1">ROUND((H163/(9)*F$27+I163/(9)*F$28)*Request!L133,0)</f>
        <v>0</v>
      </c>
      <c r="I166" s="43">
        <f ca="1">ROUND((I163/(9)*G$27+J163/(9)*G$28)*Request!M133,0)</f>
        <v>0</v>
      </c>
      <c r="J166" s="43"/>
    </row>
    <row r="167" spans="1:19">
      <c r="A167" s="4" t="s">
        <v>94</v>
      </c>
      <c r="B167" s="4"/>
      <c r="C167" s="4"/>
      <c r="D167" s="4"/>
      <c r="E167" s="43">
        <f ca="1">ROUND((E164/(9)*C$27+F164/(9)*C$28)*Request!I134,0)</f>
        <v>0</v>
      </c>
      <c r="F167" s="43">
        <f ca="1">ROUND((F164/(9)*D$27+G164/(9)*D$28)*Request!J134,0)</f>
        <v>0</v>
      </c>
      <c r="G167" s="43">
        <f ca="1">ROUND((G164/(9)*E$27+H164/(9)*E$28)*Request!K134,0)</f>
        <v>0</v>
      </c>
      <c r="H167" s="43">
        <f ca="1">ROUND((H164/(9)*F$27+I164/(9)*F$28)*Request!L134,0)</f>
        <v>0</v>
      </c>
      <c r="I167" s="43">
        <f ca="1">ROUND((I164/(9)*G$27+J164/(9)*G$28)*Request!M134,0)</f>
        <v>0</v>
      </c>
      <c r="J167" s="4"/>
    </row>
    <row r="169" spans="1:19">
      <c r="D169" s="40"/>
      <c r="E169" s="40"/>
    </row>
    <row r="170" spans="1:19">
      <c r="A170" s="2" t="s">
        <v>148</v>
      </c>
    </row>
    <row r="171" spans="1:19">
      <c r="A171" s="42" t="str">
        <f>Request!B7</f>
        <v>R. Grotjahn (PI)</v>
      </c>
      <c r="B171" s="4">
        <f>IF($G171&lt;Worksheet!C$5,$G171,Worksheet!C$5)</f>
        <v>0</v>
      </c>
      <c r="C171" s="4">
        <f>IF($G171&lt;Worksheet!D$5,$G171,Worksheet!D$5)</f>
        <v>0</v>
      </c>
      <c r="D171" s="4">
        <f>IF($G171&lt;Worksheet!E$5,$G171,Worksheet!E$5)</f>
        <v>0</v>
      </c>
      <c r="E171" s="4">
        <f>IF($G171&lt;Worksheet!F$5,$G171,Worksheet!F$5)</f>
        <v>0</v>
      </c>
      <c r="F171" s="4">
        <f>IF($G171&lt;Worksheet!G$5,$G171,Worksheet!G$5)</f>
        <v>0</v>
      </c>
      <c r="G171" s="88">
        <f>Request!L7</f>
        <v>0</v>
      </c>
      <c r="H171" s="88">
        <f>IF(B171=0,(Request!F7*9),(Request!F7*B171))</f>
        <v>0.36</v>
      </c>
      <c r="I171" s="88">
        <f>IF(C171=0,(Request!G7*9),(Request!G7*C171))</f>
        <v>0.36</v>
      </c>
      <c r="J171" s="88">
        <f>IF(D171=0,(Request!H7*9),(Request!H7*D171))</f>
        <v>0.36</v>
      </c>
      <c r="K171" s="88">
        <f>IF(E171=0,(Request!I7*9),(Request!I7*E171))</f>
        <v>0</v>
      </c>
      <c r="L171" s="88">
        <f>IF(F171=0,(Request!J7*9),(Request!J7*F171))</f>
        <v>0</v>
      </c>
    </row>
    <row r="172" spans="1:19">
      <c r="A172" s="42" t="str">
        <f>Request!B8</f>
        <v>P. Ullrich (co-PI)</v>
      </c>
      <c r="B172" s="4">
        <f>IF($G172&lt;Worksheet!C$5,$G172,Worksheet!C$5)</f>
        <v>0</v>
      </c>
      <c r="C172" s="4">
        <f>IF($G172&lt;Worksheet!D$5,$G172,Worksheet!D$5)</f>
        <v>0</v>
      </c>
      <c r="D172" s="4">
        <f>IF($G172&lt;Worksheet!E$5,$G172,Worksheet!E$5)</f>
        <v>0</v>
      </c>
      <c r="E172" s="4">
        <f>IF($G172&lt;Worksheet!F$5,$G172,Worksheet!F$5)</f>
        <v>0</v>
      </c>
      <c r="F172" s="4">
        <f>IF($G172&lt;Worksheet!G$5,$G172,Worksheet!G$5)</f>
        <v>0</v>
      </c>
      <c r="G172" s="88">
        <f>Request!L8</f>
        <v>0</v>
      </c>
      <c r="H172" s="88">
        <f>IF(B172=0,(Request!F8*9),(Request!F8*B172))</f>
        <v>0.72</v>
      </c>
      <c r="I172" s="88">
        <f>IF(C172=0,(Request!G8*9),(Request!G8*C172))</f>
        <v>0.74997000000000003</v>
      </c>
      <c r="J172" s="88">
        <f>IF(D172=0,(Request!H8*9),(Request!H8*D172))</f>
        <v>0.74997000000000003</v>
      </c>
      <c r="K172" s="88">
        <f>IF(E172=0,(Request!I8*9),(Request!I8*E172))</f>
        <v>0</v>
      </c>
      <c r="L172" s="88">
        <f>IF(F172=0,(Request!J8*9),(Request!J8*F172))</f>
        <v>0</v>
      </c>
    </row>
    <row r="173" spans="1:19">
      <c r="A173" s="42" t="str">
        <f>Request!B9</f>
        <v>TBN (GSR IV)</v>
      </c>
      <c r="B173" s="4">
        <f>IF($G173&lt;Worksheet!C$5,$G173,Worksheet!C$5)</f>
        <v>0</v>
      </c>
      <c r="C173" s="4">
        <f>IF($G173&lt;Worksheet!D$5,$G173,Worksheet!D$5)</f>
        <v>0</v>
      </c>
      <c r="D173" s="4">
        <f>IF($G173&lt;Worksheet!E$5,$G173,Worksheet!E$5)</f>
        <v>0</v>
      </c>
      <c r="E173" s="4">
        <f>IF($G173&lt;Worksheet!F$5,$G173,Worksheet!F$5)</f>
        <v>0</v>
      </c>
      <c r="F173" s="4">
        <f>IF($G173&lt;Worksheet!G$5,$G173,Worksheet!G$5)</f>
        <v>0</v>
      </c>
      <c r="G173" s="88">
        <f>Request!L9</f>
        <v>0</v>
      </c>
      <c r="H173" s="88">
        <f>IF(B173=0,(Request!F9*9),(Request!F9*B173))</f>
        <v>5.5073699999999999</v>
      </c>
      <c r="I173" s="88">
        <f>IF(C173=0,(Request!G9*9),(Request!G9*C173))</f>
        <v>5.5073699999999999</v>
      </c>
      <c r="J173" s="88">
        <f>IF(D173=0,(Request!H9*9),(Request!H9*D173))</f>
        <v>5.5073699999999999</v>
      </c>
      <c r="K173" s="88">
        <f>IF(E173=0,(Request!I9*9),(Request!I9*E173))</f>
        <v>0</v>
      </c>
      <c r="L173" s="88">
        <f>IF(F173=0,(Request!J9*9),(Request!J9*F173))</f>
        <v>0</v>
      </c>
    </row>
    <row r="174" spans="1:19">
      <c r="A174" s="42" t="str">
        <f>Request!B10</f>
        <v>TBN (GSR IV)</v>
      </c>
      <c r="B174" s="4">
        <f>IF($G174&lt;Worksheet!C$5,$G174,Worksheet!C$5)</f>
        <v>0</v>
      </c>
      <c r="C174" s="4">
        <f>IF($G174&lt;Worksheet!D$5,$G174,Worksheet!D$5)</f>
        <v>0</v>
      </c>
      <c r="D174" s="4">
        <f>IF($G174&lt;Worksheet!E$5,$G174,Worksheet!E$5)</f>
        <v>0</v>
      </c>
      <c r="E174" s="4">
        <f>IF($G174&lt;Worksheet!F$5,$G174,Worksheet!F$5)</f>
        <v>0</v>
      </c>
      <c r="F174" s="4">
        <f>IF($G174&lt;Worksheet!G$5,$G174,Worksheet!G$5)</f>
        <v>0</v>
      </c>
      <c r="G174" s="88">
        <f>Request!L10</f>
        <v>0</v>
      </c>
      <c r="H174" s="88">
        <f>IF(B174=0,(Request!F10*9),(Request!F10*B174))</f>
        <v>5.5073699999999999</v>
      </c>
      <c r="I174" s="88">
        <f>IF(C174=0,(Request!G10*9),(Request!G10*C174))</f>
        <v>5.5073699999999999</v>
      </c>
      <c r="J174" s="88">
        <f>IF(D174=0,(Request!H10*9),(Request!H10*D174))</f>
        <v>5.5073699999999999</v>
      </c>
      <c r="K174" s="88">
        <f>IF(E174=0,(Request!I10*9),(Request!I10*E174))</f>
        <v>0</v>
      </c>
      <c r="L174" s="88">
        <f>IF(F174=0,(Request!J10*9),(Request!J10*F174))</f>
        <v>0</v>
      </c>
    </row>
    <row r="175" spans="1:19">
      <c r="A175" s="42">
        <f>Request!B11</f>
        <v>0</v>
      </c>
      <c r="B175" s="4">
        <f>IF($G175&lt;Worksheet!C$5,$G175,Worksheet!C$5)</f>
        <v>0</v>
      </c>
      <c r="C175" s="4">
        <f>IF($G175&lt;Worksheet!D$5,$G175,Worksheet!D$5)</f>
        <v>0</v>
      </c>
      <c r="D175" s="4">
        <f>IF($G175&lt;Worksheet!E$5,$G175,Worksheet!E$5)</f>
        <v>0</v>
      </c>
      <c r="E175" s="4">
        <f>IF($G175&lt;Worksheet!F$5,$G175,Worksheet!F$5)</f>
        <v>0</v>
      </c>
      <c r="F175" s="4">
        <f>IF($G175&lt;Worksheet!G$5,$G175,Worksheet!G$5)</f>
        <v>0</v>
      </c>
      <c r="G175" s="88">
        <f>Request!L11</f>
        <v>0</v>
      </c>
      <c r="H175" s="88">
        <f>IF(B175=0,(Request!F11*9),(Request!F11*B175))</f>
        <v>0</v>
      </c>
      <c r="I175" s="88">
        <f>IF(C175=0,(Request!G11*9),(Request!G11*C175))</f>
        <v>0</v>
      </c>
      <c r="J175" s="88">
        <f>IF(D175=0,(Request!H11*9),(Request!H11*D175))</f>
        <v>0</v>
      </c>
      <c r="K175" s="88">
        <f>IF(E175=0,(Request!I11*9),(Request!I11*E175))</f>
        <v>0</v>
      </c>
      <c r="L175" s="88">
        <f>IF(F175=0,(Request!J11*9),(Request!J11*F175))</f>
        <v>0</v>
      </c>
    </row>
    <row r="176" spans="1:19">
      <c r="A176" s="42">
        <f>Request!B12</f>
        <v>0</v>
      </c>
      <c r="B176" s="4">
        <f>IF($G176&lt;Worksheet!C$5,$G176,Worksheet!C$5)</f>
        <v>0</v>
      </c>
      <c r="C176" s="4">
        <f>IF($G176&lt;Worksheet!D$5,$G176,Worksheet!D$5)</f>
        <v>0</v>
      </c>
      <c r="D176" s="4">
        <f>IF($G176&lt;Worksheet!E$5,$G176,Worksheet!E$5)</f>
        <v>0</v>
      </c>
      <c r="E176" s="4">
        <f>IF($G176&lt;Worksheet!F$5,$G176,Worksheet!F$5)</f>
        <v>0</v>
      </c>
      <c r="F176" s="4">
        <f>IF($G176&lt;Worksheet!G$5,$G176,Worksheet!G$5)</f>
        <v>0</v>
      </c>
      <c r="G176" s="88">
        <f>Request!L12</f>
        <v>0</v>
      </c>
      <c r="H176" s="88">
        <f>IF(B176=0,(Request!F12*9),(Request!F12*B176))</f>
        <v>0</v>
      </c>
      <c r="I176" s="88">
        <f>IF(C176=0,(Request!G12*9),(Request!G12*C176))</f>
        <v>0</v>
      </c>
      <c r="J176" s="88">
        <f>IF(D176=0,(Request!H12*9),(Request!H12*D176))</f>
        <v>0</v>
      </c>
      <c r="K176" s="88">
        <f>IF(E176=0,(Request!I12*9),(Request!I12*E176))</f>
        <v>0</v>
      </c>
      <c r="L176" s="88">
        <f>IF(F176=0,(Request!J12*9),(Request!J12*F176))</f>
        <v>0</v>
      </c>
    </row>
    <row r="177" spans="1:12">
      <c r="A177" s="42">
        <f>Request!B13</f>
        <v>0</v>
      </c>
      <c r="B177" s="4">
        <f>IF($G177&lt;Worksheet!C$5,$G177,Worksheet!C$5)</f>
        <v>0</v>
      </c>
      <c r="C177" s="4">
        <f>IF($G177&lt;Worksheet!D$5,$G177,Worksheet!D$5)</f>
        <v>0</v>
      </c>
      <c r="D177" s="4">
        <f>IF($G177&lt;Worksheet!E$5,$G177,Worksheet!E$5)</f>
        <v>0</v>
      </c>
      <c r="E177" s="4">
        <f>IF($G177&lt;Worksheet!F$5,$G177,Worksheet!F$5)</f>
        <v>0</v>
      </c>
      <c r="F177" s="4">
        <f>IF($G177&lt;Worksheet!G$5,$G177,Worksheet!G$5)</f>
        <v>0</v>
      </c>
      <c r="G177" s="88">
        <f>Request!L13</f>
        <v>0</v>
      </c>
      <c r="H177" s="88">
        <f>IF(B177=0,(Request!F13*9),(Request!F13*B177))</f>
        <v>0</v>
      </c>
      <c r="I177" s="88">
        <f>IF(C177=0,(Request!G13*9),(Request!G13*C177))</f>
        <v>0</v>
      </c>
      <c r="J177" s="88">
        <f>IF(D177=0,(Request!H13*9),(Request!H13*D177))</f>
        <v>0</v>
      </c>
      <c r="K177" s="88">
        <f>IF(E177=0,(Request!I13*9),(Request!I13*E177))</f>
        <v>0</v>
      </c>
      <c r="L177" s="88">
        <f>IF(F177=0,(Request!J13*9),(Request!J13*F177))</f>
        <v>0</v>
      </c>
    </row>
    <row r="178" spans="1:12">
      <c r="A178" s="42">
        <f>Request!B14</f>
        <v>0</v>
      </c>
      <c r="B178" s="4">
        <f>IF($G178&lt;Worksheet!C$5,$G178,Worksheet!C$5)</f>
        <v>0</v>
      </c>
      <c r="C178" s="4">
        <f>IF($G178&lt;Worksheet!D$5,$G178,Worksheet!D$5)</f>
        <v>0</v>
      </c>
      <c r="D178" s="4">
        <f>IF($G178&lt;Worksheet!E$5,$G178,Worksheet!E$5)</f>
        <v>0</v>
      </c>
      <c r="E178" s="4">
        <f>IF($G178&lt;Worksheet!F$5,$G178,Worksheet!F$5)</f>
        <v>0</v>
      </c>
      <c r="F178" s="4">
        <f>IF($G178&lt;Worksheet!G$5,$G178,Worksheet!G$5)</f>
        <v>0</v>
      </c>
      <c r="G178" s="88">
        <f>Request!L14</f>
        <v>0</v>
      </c>
      <c r="H178" s="88">
        <f>IF(B178=0,(Request!F14*9),(Request!F14*B178))</f>
        <v>0</v>
      </c>
      <c r="I178" s="88">
        <f>IF(C178=0,(Request!G14*9),(Request!G14*C178))</f>
        <v>0</v>
      </c>
      <c r="J178" s="88">
        <f>IF(D178=0,(Request!H14*9),(Request!H14*D178))</f>
        <v>0</v>
      </c>
      <c r="K178" s="88">
        <f>IF(E178=0,(Request!I14*9),(Request!I14*E178))</f>
        <v>0</v>
      </c>
      <c r="L178" s="88">
        <f>IF(F178=0,(Request!J14*9),(Request!J14*F178))</f>
        <v>0</v>
      </c>
    </row>
    <row r="179" spans="1:12">
      <c r="A179" s="42">
        <f>Request!B15</f>
        <v>0</v>
      </c>
      <c r="B179" s="4">
        <f>IF($G179&lt;Worksheet!C$5,$G179,Worksheet!C$5)</f>
        <v>0</v>
      </c>
      <c r="C179" s="4">
        <f>IF($G179&lt;Worksheet!D$5,$G179,Worksheet!D$5)</f>
        <v>0</v>
      </c>
      <c r="D179" s="4">
        <f>IF($G179&lt;Worksheet!E$5,$G179,Worksheet!E$5)</f>
        <v>0</v>
      </c>
      <c r="E179" s="4">
        <f>IF($G179&lt;Worksheet!F$5,$G179,Worksheet!F$5)</f>
        <v>0</v>
      </c>
      <c r="F179" s="4">
        <f>IF($G179&lt;Worksheet!G$5,$G179,Worksheet!G$5)</f>
        <v>0</v>
      </c>
      <c r="G179" s="88">
        <f>Request!L15</f>
        <v>0</v>
      </c>
      <c r="H179" s="88">
        <f>IF(B179=0,(Request!F15*9),(Request!F15*B179))</f>
        <v>0</v>
      </c>
      <c r="I179" s="88">
        <f>IF(C179=0,(Request!G15*9),(Request!G15*C179))</f>
        <v>0</v>
      </c>
      <c r="J179" s="88">
        <f>IF(D179=0,(Request!H15*9),(Request!H15*D179))</f>
        <v>0</v>
      </c>
      <c r="K179" s="88">
        <f>IF(E179=0,(Request!I15*9),(Request!I15*E179))</f>
        <v>0</v>
      </c>
      <c r="L179" s="88">
        <f>IF(F179=0,(Request!J15*9),(Request!J15*F179))</f>
        <v>0</v>
      </c>
    </row>
    <row r="180" spans="1:12">
      <c r="A180" s="42">
        <f>Request!B16</f>
        <v>0</v>
      </c>
      <c r="B180" s="4">
        <f>IF($G180&lt;Worksheet!C$5,$G180,Worksheet!C$5)</f>
        <v>0</v>
      </c>
      <c r="C180" s="4">
        <f>IF($G180&lt;Worksheet!D$5,$G180,Worksheet!D$5)</f>
        <v>0</v>
      </c>
      <c r="D180" s="4">
        <f>IF($G180&lt;Worksheet!E$5,$G180,Worksheet!E$5)</f>
        <v>0</v>
      </c>
      <c r="E180" s="4">
        <f>IF($G180&lt;Worksheet!F$5,$G180,Worksheet!F$5)</f>
        <v>0</v>
      </c>
      <c r="F180" s="4">
        <f>IF($G180&lt;Worksheet!G$5,$G180,Worksheet!G$5)</f>
        <v>0</v>
      </c>
      <c r="G180" s="88">
        <f>Request!L16</f>
        <v>0</v>
      </c>
      <c r="H180" s="88">
        <f>IF(B180=0,(Request!F16*9),(Request!F16*B180))</f>
        <v>0</v>
      </c>
      <c r="I180" s="88">
        <f>IF(C180=0,(Request!G16*9),(Request!G16*C180))</f>
        <v>0</v>
      </c>
      <c r="J180" s="88">
        <f>IF(D180=0,(Request!H16*9),(Request!H16*D180))</f>
        <v>0</v>
      </c>
      <c r="K180" s="88">
        <f>IF(E180=0,(Request!I16*9),(Request!I16*E180))</f>
        <v>0</v>
      </c>
      <c r="L180" s="88">
        <f>IF(F180=0,(Request!J16*9),(Request!J16*F180))</f>
        <v>0</v>
      </c>
    </row>
    <row r="181" spans="1:12">
      <c r="A181" s="42">
        <f>Request!B17</f>
        <v>0</v>
      </c>
      <c r="B181" s="4">
        <f>IF($G181&lt;Worksheet!C$5,$G181,Worksheet!C$5)</f>
        <v>0</v>
      </c>
      <c r="C181" s="4">
        <f>IF($G181&lt;Worksheet!D$5,$G181,Worksheet!D$5)</f>
        <v>0</v>
      </c>
      <c r="D181" s="4">
        <f>IF($G181&lt;Worksheet!E$5,$G181,Worksheet!E$5)</f>
        <v>0</v>
      </c>
      <c r="E181" s="4">
        <f>IF($G181&lt;Worksheet!F$5,$G181,Worksheet!F$5)</f>
        <v>0</v>
      </c>
      <c r="F181" s="4">
        <f>IF($G181&lt;Worksheet!G$5,$G181,Worksheet!G$5)</f>
        <v>0</v>
      </c>
      <c r="G181" s="88">
        <f>Request!L17</f>
        <v>0</v>
      </c>
      <c r="H181" s="88">
        <f>IF(B181=0,(Request!F17*9),(Request!F17*B181))</f>
        <v>0</v>
      </c>
      <c r="I181" s="88">
        <f>IF(C181=0,(Request!G17*9),(Request!G17*C181))</f>
        <v>0</v>
      </c>
      <c r="J181" s="88">
        <f>IF(D181=0,(Request!H17*9),(Request!H17*D181))</f>
        <v>0</v>
      </c>
      <c r="K181" s="88">
        <f>IF(E181=0,(Request!I17*9),(Request!I17*E181))</f>
        <v>0</v>
      </c>
      <c r="L181" s="88">
        <f>IF(F181=0,(Request!J17*9),(Request!J17*F181))</f>
        <v>0</v>
      </c>
    </row>
    <row r="182" spans="1:12">
      <c r="A182" s="42">
        <f>Request!B18</f>
        <v>0</v>
      </c>
      <c r="B182" s="4">
        <f>IF($G182&lt;Worksheet!C$5,$G182,Worksheet!C$5)</f>
        <v>0</v>
      </c>
      <c r="C182" s="4">
        <f>IF($G182&lt;Worksheet!D$5,$G182,Worksheet!D$5)</f>
        <v>0</v>
      </c>
      <c r="D182" s="4">
        <f>IF($G182&lt;Worksheet!E$5,$G182,Worksheet!E$5)</f>
        <v>0</v>
      </c>
      <c r="E182" s="4">
        <f>IF($G182&lt;Worksheet!F$5,$G182,Worksheet!F$5)</f>
        <v>0</v>
      </c>
      <c r="F182" s="4">
        <f>IF($G182&lt;Worksheet!G$5,$G182,Worksheet!G$5)</f>
        <v>0</v>
      </c>
      <c r="G182" s="88">
        <f>Request!L18</f>
        <v>0</v>
      </c>
      <c r="H182" s="88">
        <f>IF(B182=0,(Request!F18*9),(Request!F18*B182))</f>
        <v>0</v>
      </c>
      <c r="I182" s="88">
        <f>IF(C182=0,(Request!G18*9),(Request!G18*C182))</f>
        <v>0</v>
      </c>
      <c r="J182" s="88">
        <f>IF(D182=0,(Request!H18*9),(Request!H18*D182))</f>
        <v>0</v>
      </c>
      <c r="K182" s="88">
        <f>IF(E182=0,(Request!I18*9),(Request!I18*E182))</f>
        <v>0</v>
      </c>
      <c r="L182" s="88">
        <f>IF(F182=0,(Request!J18*9),(Request!J18*F182))</f>
        <v>0</v>
      </c>
    </row>
    <row r="183" spans="1:12">
      <c r="A183" s="42">
        <f>Request!B19</f>
        <v>0</v>
      </c>
      <c r="B183" s="4">
        <f>IF($G183&lt;Worksheet!C$5,$G183,Worksheet!C$5)</f>
        <v>0</v>
      </c>
      <c r="C183" s="4">
        <f>IF($G183&lt;Worksheet!D$5,$G183,Worksheet!D$5)</f>
        <v>0</v>
      </c>
      <c r="D183" s="4">
        <f>IF($G183&lt;Worksheet!E$5,$G183,Worksheet!E$5)</f>
        <v>0</v>
      </c>
      <c r="E183" s="4">
        <f>IF($G183&lt;Worksheet!F$5,$G183,Worksheet!F$5)</f>
        <v>0</v>
      </c>
      <c r="F183" s="4">
        <f>IF($G183&lt;Worksheet!G$5,$G183,Worksheet!G$5)</f>
        <v>0</v>
      </c>
      <c r="G183" s="88">
        <f>Request!L19</f>
        <v>0</v>
      </c>
      <c r="H183" s="88">
        <f>IF(B183=0,(Request!F19*9),(Request!F19*B183))</f>
        <v>0</v>
      </c>
      <c r="I183" s="88">
        <f>IF(C183=0,(Request!G19*9),(Request!G19*C183))</f>
        <v>0</v>
      </c>
      <c r="J183" s="88">
        <f>IF(D183=0,(Request!H19*9),(Request!H19*D183))</f>
        <v>0</v>
      </c>
      <c r="K183" s="88">
        <f>IF(E183=0,(Request!I19*9),(Request!I19*E183))</f>
        <v>0</v>
      </c>
      <c r="L183" s="88">
        <f>IF(F183=0,(Request!J19*9),(Request!J19*F183))</f>
        <v>0</v>
      </c>
    </row>
    <row r="184" spans="1:12">
      <c r="A184" s="42">
        <f>Request!B20</f>
        <v>0</v>
      </c>
      <c r="B184" s="4">
        <f>IF($G184&lt;Worksheet!C$5,$G184,Worksheet!C$5)</f>
        <v>0</v>
      </c>
      <c r="C184" s="4">
        <f>IF($G184&lt;Worksheet!D$5,$G184,Worksheet!D$5)</f>
        <v>0</v>
      </c>
      <c r="D184" s="4">
        <f>IF($G184&lt;Worksheet!E$5,$G184,Worksheet!E$5)</f>
        <v>0</v>
      </c>
      <c r="E184" s="4">
        <f>IF($G184&lt;Worksheet!F$5,$G184,Worksheet!F$5)</f>
        <v>0</v>
      </c>
      <c r="F184" s="4">
        <f>IF($G184&lt;Worksheet!G$5,$G184,Worksheet!G$5)</f>
        <v>0</v>
      </c>
      <c r="G184" s="88">
        <f>Request!L20</f>
        <v>0</v>
      </c>
      <c r="H184" s="88">
        <f>IF(B184=0,(Request!F20*9),(Request!F20*B184))</f>
        <v>0</v>
      </c>
      <c r="I184" s="88">
        <f>IF(C184=0,(Request!G20*9),(Request!G20*C184))</f>
        <v>0</v>
      </c>
      <c r="J184" s="88">
        <f>IF(D184=0,(Request!H20*9),(Request!H20*D184))</f>
        <v>0</v>
      </c>
      <c r="K184" s="88">
        <f>IF(E184=0,(Request!I20*9),(Request!I20*E184))</f>
        <v>0</v>
      </c>
      <c r="L184" s="88">
        <f>IF(F184=0,(Request!J20*9),(Request!J20*F184))</f>
        <v>0</v>
      </c>
    </row>
    <row r="185" spans="1:12">
      <c r="A185" s="42">
        <f>Request!B21</f>
        <v>0</v>
      </c>
      <c r="B185" s="4">
        <f>IF($G185&lt;Worksheet!C$5,$G185,Worksheet!C$5)</f>
        <v>0</v>
      </c>
      <c r="C185" s="4">
        <f>IF($G185&lt;Worksheet!D$5,$G185,Worksheet!D$5)</f>
        <v>0</v>
      </c>
      <c r="D185" s="4">
        <f>IF($G185&lt;Worksheet!E$5,$G185,Worksheet!E$5)</f>
        <v>0</v>
      </c>
      <c r="E185" s="4">
        <f>IF($G185&lt;Worksheet!F$5,$G185,Worksheet!F$5)</f>
        <v>0</v>
      </c>
      <c r="F185" s="4">
        <f>IF($G185&lt;Worksheet!G$5,$G185,Worksheet!G$5)</f>
        <v>0</v>
      </c>
      <c r="G185" s="88">
        <f>Request!L21</f>
        <v>0</v>
      </c>
      <c r="H185" s="88">
        <f>IF(B185=0,(Request!F21*9),(Request!F21*B185))</f>
        <v>0</v>
      </c>
      <c r="I185" s="88">
        <f>IF(C185=0,(Request!G21*9),(Request!G21*C185))</f>
        <v>0</v>
      </c>
      <c r="J185" s="88">
        <f>IF(D185=0,(Request!H21*9),(Request!H21*D185))</f>
        <v>0</v>
      </c>
      <c r="K185" s="88">
        <f>IF(E185=0,(Request!I21*9),(Request!I21*E185))</f>
        <v>0</v>
      </c>
      <c r="L185" s="88">
        <f>IF(F185=0,(Request!J21*9),(Request!J21*F185))</f>
        <v>0</v>
      </c>
    </row>
    <row r="186" spans="1:12">
      <c r="A186" s="42">
        <f>Request!B22</f>
        <v>0</v>
      </c>
      <c r="B186" s="4">
        <f>IF($G186&lt;Worksheet!C$5,$G186,Worksheet!C$5)</f>
        <v>0</v>
      </c>
      <c r="C186" s="4">
        <f>IF($G186&lt;Worksheet!D$5,$G186,Worksheet!D$5)</f>
        <v>0</v>
      </c>
      <c r="D186" s="4">
        <f>IF($G186&lt;Worksheet!E$5,$G186,Worksheet!E$5)</f>
        <v>0</v>
      </c>
      <c r="E186" s="4">
        <f>IF($G186&lt;Worksheet!F$5,$G186,Worksheet!F$5)</f>
        <v>0</v>
      </c>
      <c r="F186" s="4">
        <f>IF($G186&lt;Worksheet!G$5,$G186,Worksheet!G$5)</f>
        <v>0</v>
      </c>
      <c r="G186" s="88">
        <f>Request!L22</f>
        <v>0</v>
      </c>
      <c r="H186" s="88">
        <f>IF(B186=0,(Request!F22*9),(Request!F22*B186))</f>
        <v>0</v>
      </c>
      <c r="I186" s="88">
        <f>IF(C186=0,(Request!G22*9),(Request!G22*C186))</f>
        <v>0</v>
      </c>
      <c r="J186" s="88">
        <f>IF(D186=0,(Request!H22*9),(Request!H22*D186))</f>
        <v>0</v>
      </c>
      <c r="K186" s="88">
        <f>IF(E186=0,(Request!I22*9),(Request!I22*E186))</f>
        <v>0</v>
      </c>
      <c r="L186" s="88">
        <f>IF(F186=0,(Request!J22*9),(Request!J22*F186))</f>
        <v>0</v>
      </c>
    </row>
    <row r="187" spans="1:12">
      <c r="A187" s="42">
        <f>Request!B23</f>
        <v>0</v>
      </c>
      <c r="B187" s="4">
        <f>IF($G187&lt;Worksheet!C$5,$G187,Worksheet!C$5)</f>
        <v>0</v>
      </c>
      <c r="C187" s="4">
        <f>IF($G187&lt;Worksheet!D$5,$G187,Worksheet!D$5)</f>
        <v>0</v>
      </c>
      <c r="D187" s="4">
        <f>IF($G187&lt;Worksheet!E$5,$G187,Worksheet!E$5)</f>
        <v>0</v>
      </c>
      <c r="E187" s="4">
        <f>IF($G187&lt;Worksheet!F$5,$G187,Worksheet!F$5)</f>
        <v>0</v>
      </c>
      <c r="F187" s="4">
        <f>IF($G187&lt;Worksheet!G$5,$G187,Worksheet!G$5)</f>
        <v>0</v>
      </c>
      <c r="G187" s="88">
        <f>Request!L23</f>
        <v>0</v>
      </c>
      <c r="H187" s="88">
        <f>IF(B187=0,(Request!F23*9),(Request!F23*B187))</f>
        <v>0</v>
      </c>
      <c r="I187" s="88">
        <f>IF(C187=0,(Request!G23*9),(Request!G23*C187))</f>
        <v>0</v>
      </c>
      <c r="J187" s="88">
        <f>IF(D187=0,(Request!H23*9),(Request!H23*D187))</f>
        <v>0</v>
      </c>
      <c r="K187" s="88">
        <f>IF(E187=0,(Request!I23*9),(Request!I23*E187))</f>
        <v>0</v>
      </c>
      <c r="L187" s="88">
        <f>IF(F187=0,(Request!J23*9),(Request!J23*F187))</f>
        <v>0</v>
      </c>
    </row>
    <row r="188" spans="1:12">
      <c r="A188" s="42">
        <f>Request!B24</f>
        <v>0</v>
      </c>
      <c r="B188" s="4">
        <f>IF($G188&lt;Worksheet!C$5,$G188,Worksheet!C$5)</f>
        <v>0</v>
      </c>
      <c r="C188" s="4">
        <f>IF($G188&lt;Worksheet!D$5,$G188,Worksheet!D$5)</f>
        <v>0</v>
      </c>
      <c r="D188" s="4">
        <f>IF($G188&lt;Worksheet!E$5,$G188,Worksheet!E$5)</f>
        <v>0</v>
      </c>
      <c r="E188" s="4">
        <f>IF($G188&lt;Worksheet!F$5,$G188,Worksheet!F$5)</f>
        <v>0</v>
      </c>
      <c r="F188" s="4">
        <f>IF($G188&lt;Worksheet!G$5,$G188,Worksheet!G$5)</f>
        <v>0</v>
      </c>
      <c r="G188" s="88">
        <f>Request!L24</f>
        <v>0</v>
      </c>
      <c r="H188" s="88">
        <f>IF(B188=0,(Request!F24*9),(Request!F24*B188))</f>
        <v>0</v>
      </c>
      <c r="I188" s="88">
        <f>IF(C188=0,(Request!G24*9),(Request!G24*C188))</f>
        <v>0</v>
      </c>
      <c r="J188" s="88">
        <f>IF(D188=0,(Request!H24*9),(Request!H24*D188))</f>
        <v>0</v>
      </c>
      <c r="K188" s="88">
        <f>IF(E188=0,(Request!I24*9),(Request!I24*E188))</f>
        <v>0</v>
      </c>
      <c r="L188" s="88">
        <f>IF(F188=0,(Request!J24*9),(Request!J24*F188))</f>
        <v>0</v>
      </c>
    </row>
    <row r="189" spans="1:12">
      <c r="A189" s="42">
        <f>Request!B25</f>
        <v>0</v>
      </c>
      <c r="B189" s="4">
        <f>IF($G189&lt;Worksheet!C$5,$G189,Worksheet!C$5)</f>
        <v>0</v>
      </c>
      <c r="C189" s="4">
        <f>IF($G189&lt;Worksheet!D$5,$G189,Worksheet!D$5)</f>
        <v>0</v>
      </c>
      <c r="D189" s="4">
        <f>IF($G189&lt;Worksheet!E$5,$G189,Worksheet!E$5)</f>
        <v>0</v>
      </c>
      <c r="E189" s="4">
        <f>IF($G189&lt;Worksheet!F$5,$G189,Worksheet!F$5)</f>
        <v>0</v>
      </c>
      <c r="F189" s="4">
        <f>IF($G189&lt;Worksheet!G$5,$G189,Worksheet!G$5)</f>
        <v>0</v>
      </c>
      <c r="G189" s="88">
        <f>Request!L25</f>
        <v>0</v>
      </c>
      <c r="H189" s="88">
        <f>IF(B189=0,(Request!F25*9),(Request!F25*B189))</f>
        <v>0</v>
      </c>
      <c r="I189" s="88">
        <f>IF(C189=0,(Request!G25*9),(Request!G25*C189))</f>
        <v>0</v>
      </c>
      <c r="J189" s="88">
        <f>IF(D189=0,(Request!H25*9),(Request!H25*D189))</f>
        <v>0</v>
      </c>
      <c r="K189" s="88">
        <f>IF(E189=0,(Request!I25*9),(Request!I25*E189))</f>
        <v>0</v>
      </c>
      <c r="L189" s="88">
        <f>IF(F189=0,(Request!J25*9),(Request!J25*F189))</f>
        <v>0</v>
      </c>
    </row>
    <row r="190" spans="1:12">
      <c r="A190" s="42">
        <f>Request!B26</f>
        <v>0</v>
      </c>
      <c r="B190" s="4">
        <f>IF($G190&lt;Worksheet!C$5,$G190,Worksheet!C$5)</f>
        <v>0</v>
      </c>
      <c r="C190" s="4">
        <f>IF($G190&lt;Worksheet!D$5,$G190,Worksheet!D$5)</f>
        <v>0</v>
      </c>
      <c r="D190" s="4">
        <f>IF($G190&lt;Worksheet!E$5,$G190,Worksheet!E$5)</f>
        <v>0</v>
      </c>
      <c r="E190" s="4">
        <f>IF($G190&lt;Worksheet!F$5,$G190,Worksheet!F$5)</f>
        <v>0</v>
      </c>
      <c r="F190" s="4">
        <f>IF($G190&lt;Worksheet!G$5,$G190,Worksheet!G$5)</f>
        <v>0</v>
      </c>
      <c r="G190" s="88">
        <f>Request!L26</f>
        <v>0</v>
      </c>
      <c r="H190" s="88">
        <f>IF(B190=0,(Request!F26*9),(Request!F26*B190))</f>
        <v>0</v>
      </c>
      <c r="I190" s="88">
        <f>IF(C190=0,(Request!G26*9),(Request!G26*C190))</f>
        <v>0</v>
      </c>
      <c r="J190" s="88">
        <f>IF(D190=0,(Request!H26*9),(Request!H26*D190))</f>
        <v>0</v>
      </c>
      <c r="K190" s="88">
        <f>IF(E190=0,(Request!I26*9),(Request!I26*E190))</f>
        <v>0</v>
      </c>
      <c r="L190" s="88">
        <f>IF(F190=0,(Request!J26*9),(Request!J26*F190))</f>
        <v>0</v>
      </c>
    </row>
    <row r="191" spans="1:12">
      <c r="A191" s="42">
        <f>Request!B27</f>
        <v>0</v>
      </c>
      <c r="B191" s="4">
        <f>IF($G191&lt;Worksheet!C$5,$G191,Worksheet!C$5)</f>
        <v>0</v>
      </c>
      <c r="C191" s="4">
        <f>IF($G191&lt;Worksheet!D$5,$G191,Worksheet!D$5)</f>
        <v>0</v>
      </c>
      <c r="D191" s="4">
        <f>IF($G191&lt;Worksheet!E$5,$G191,Worksheet!E$5)</f>
        <v>0</v>
      </c>
      <c r="E191" s="4">
        <f>IF($G191&lt;Worksheet!F$5,$G191,Worksheet!F$5)</f>
        <v>0</v>
      </c>
      <c r="F191" s="4">
        <f>IF($G191&lt;Worksheet!G$5,$G191,Worksheet!G$5)</f>
        <v>0</v>
      </c>
      <c r="G191" s="88">
        <f>Request!L27</f>
        <v>0</v>
      </c>
      <c r="H191" s="88">
        <f>IF(B191=0,(Request!F27*9),(Request!F27*B191))</f>
        <v>0</v>
      </c>
      <c r="I191" s="88">
        <f>IF(C191=0,(Request!G27*9),(Request!G27*C191))</f>
        <v>0</v>
      </c>
      <c r="J191" s="88">
        <f>IF(D191=0,(Request!H27*9),(Request!H27*D191))</f>
        <v>0</v>
      </c>
      <c r="K191" s="88">
        <f>IF(E191=0,(Request!I27*9),(Request!I27*E191))</f>
        <v>0</v>
      </c>
      <c r="L191" s="88">
        <f>IF(F191=0,(Request!J27*9),(Request!J27*F191))</f>
        <v>0</v>
      </c>
    </row>
    <row r="192" spans="1:12">
      <c r="A192" s="42">
        <f>Request!B28</f>
        <v>0</v>
      </c>
      <c r="B192" s="4">
        <f>IF($G192&lt;Worksheet!C$5,$G192,Worksheet!C$5)</f>
        <v>0</v>
      </c>
      <c r="C192" s="4">
        <f>IF($G192&lt;Worksheet!D$5,$G192,Worksheet!D$5)</f>
        <v>0</v>
      </c>
      <c r="D192" s="4">
        <f>IF($G192&lt;Worksheet!E$5,$G192,Worksheet!E$5)</f>
        <v>0</v>
      </c>
      <c r="E192" s="4">
        <f>IF($G192&lt;Worksheet!F$5,$G192,Worksheet!F$5)</f>
        <v>0</v>
      </c>
      <c r="F192" s="4">
        <f>IF($G192&lt;Worksheet!G$5,$G192,Worksheet!G$5)</f>
        <v>0</v>
      </c>
      <c r="G192" s="88">
        <f>Request!L28</f>
        <v>0</v>
      </c>
      <c r="H192" s="88">
        <f>IF(B192=0,(Request!F28*9),(Request!F28*B192))</f>
        <v>0</v>
      </c>
      <c r="I192" s="88">
        <f>IF(C192=0,(Request!G28*9),(Request!G28*C192))</f>
        <v>0</v>
      </c>
      <c r="J192" s="88">
        <f>IF(D192=0,(Request!H28*9),(Request!H28*D192))</f>
        <v>0</v>
      </c>
      <c r="K192" s="88">
        <f>IF(E192=0,(Request!I28*9),(Request!I28*E192))</f>
        <v>0</v>
      </c>
      <c r="L192" s="88">
        <f>IF(F192=0,(Request!J28*9),(Request!J28*F192))</f>
        <v>0</v>
      </c>
    </row>
    <row r="193" spans="1:12">
      <c r="A193" s="42">
        <f>Request!B29</f>
        <v>0</v>
      </c>
      <c r="B193" s="4">
        <f>IF($G193&lt;Worksheet!C$5,$G193,Worksheet!C$5)</f>
        <v>0</v>
      </c>
      <c r="C193" s="4">
        <f>IF($G193&lt;Worksheet!D$5,$G193,Worksheet!D$5)</f>
        <v>0</v>
      </c>
      <c r="D193" s="4">
        <f>IF($G193&lt;Worksheet!E$5,$G193,Worksheet!E$5)</f>
        <v>0</v>
      </c>
      <c r="E193" s="4">
        <f>IF($G193&lt;Worksheet!F$5,$G193,Worksheet!F$5)</f>
        <v>0</v>
      </c>
      <c r="F193" s="4">
        <f>IF($G193&lt;Worksheet!G$5,$G193,Worksheet!G$5)</f>
        <v>0</v>
      </c>
      <c r="G193" s="88">
        <f>Request!L29</f>
        <v>0</v>
      </c>
      <c r="H193" s="88">
        <f>IF(B193=0,(Request!F29*9),(Request!F29*B193))</f>
        <v>0</v>
      </c>
      <c r="I193" s="88">
        <f>IF(C193=0,(Request!G29*9),(Request!G29*C193))</f>
        <v>0</v>
      </c>
      <c r="J193" s="88">
        <f>IF(D193=0,(Request!H29*9),(Request!H29*D193))</f>
        <v>0</v>
      </c>
      <c r="K193" s="88">
        <f>IF(E193=0,(Request!I29*9),(Request!I29*E193))</f>
        <v>0</v>
      </c>
      <c r="L193" s="88">
        <f>IF(F193=0,(Request!J29*9),(Request!J29*F193))</f>
        <v>0</v>
      </c>
    </row>
    <row r="194" spans="1:12">
      <c r="A194" s="42">
        <f>Request!B30</f>
        <v>0</v>
      </c>
      <c r="B194" s="4">
        <f>IF($G194&lt;Worksheet!C$5,$G194,Worksheet!C$5)</f>
        <v>0</v>
      </c>
      <c r="C194" s="4">
        <f>IF($G194&lt;Worksheet!D$5,$G194,Worksheet!D$5)</f>
        <v>0</v>
      </c>
      <c r="D194" s="4">
        <f>IF($G194&lt;Worksheet!E$5,$G194,Worksheet!E$5)</f>
        <v>0</v>
      </c>
      <c r="E194" s="4">
        <f>IF($G194&lt;Worksheet!F$5,$G194,Worksheet!F$5)</f>
        <v>0</v>
      </c>
      <c r="F194" s="4">
        <f>IF($G194&lt;Worksheet!G$5,$G194,Worksheet!G$5)</f>
        <v>0</v>
      </c>
      <c r="G194" s="88">
        <f>Request!L30</f>
        <v>0</v>
      </c>
      <c r="H194" s="88">
        <f>IF(B194=0,(Request!F30*9),(Request!F30*B194))</f>
        <v>0</v>
      </c>
      <c r="I194" s="88">
        <f>IF(C194=0,(Request!G30*9),(Request!G30*C194))</f>
        <v>0</v>
      </c>
      <c r="J194" s="88">
        <f>IF(D194=0,(Request!H30*9),(Request!H30*D194))</f>
        <v>0</v>
      </c>
      <c r="K194" s="88">
        <f>IF(E194=0,(Request!I30*9),(Request!I30*E194))</f>
        <v>0</v>
      </c>
      <c r="L194" s="88">
        <f>IF(F194=0,(Request!J30*9),(Request!J30*F194))</f>
        <v>0</v>
      </c>
    </row>
    <row r="197" spans="1:12">
      <c r="A197" s="1" t="s">
        <v>181</v>
      </c>
      <c r="E197" s="6" t="s">
        <v>10</v>
      </c>
      <c r="F197" s="6" t="s">
        <v>11</v>
      </c>
      <c r="G197" s="6" t="s">
        <v>12</v>
      </c>
      <c r="H197" s="6" t="s">
        <v>25</v>
      </c>
      <c r="I197" s="6" t="s">
        <v>13</v>
      </c>
    </row>
    <row r="198" spans="1:12">
      <c r="A198" s="210" t="s">
        <v>178</v>
      </c>
      <c r="B198" s="212" t="s">
        <v>182</v>
      </c>
      <c r="C198" s="212"/>
      <c r="D198" s="213"/>
      <c r="E198" s="203">
        <f>C13</f>
        <v>1</v>
      </c>
      <c r="F198" s="203">
        <f t="shared" ref="F198:H198" si="47">D13</f>
        <v>1</v>
      </c>
      <c r="G198" s="203">
        <f t="shared" si="47"/>
        <v>1</v>
      </c>
      <c r="H198" s="203">
        <f t="shared" si="47"/>
        <v>0</v>
      </c>
      <c r="I198" s="203">
        <f>G13</f>
        <v>0</v>
      </c>
    </row>
    <row r="199" spans="1:12">
      <c r="A199" s="211"/>
      <c r="B199" s="212" t="s">
        <v>183</v>
      </c>
      <c r="C199" s="212"/>
      <c r="D199" s="213"/>
      <c r="E199" s="203">
        <f>C14</f>
        <v>2</v>
      </c>
      <c r="F199" s="203">
        <f t="shared" ref="F199:H199" si="48">D14</f>
        <v>2</v>
      </c>
      <c r="G199" s="203">
        <f t="shared" si="48"/>
        <v>2</v>
      </c>
      <c r="H199" s="203">
        <f t="shared" si="48"/>
        <v>0</v>
      </c>
      <c r="I199" s="203">
        <f>G14</f>
        <v>0</v>
      </c>
    </row>
    <row r="200" spans="1:12">
      <c r="A200" s="210" t="s">
        <v>179</v>
      </c>
      <c r="B200" s="212" t="s">
        <v>182</v>
      </c>
      <c r="C200" s="212"/>
      <c r="D200" s="213"/>
      <c r="E200" s="4">
        <f>IF(AND(MONTH(C2)=9,DAY(C2)&lt;=5),0.5,IF(AND(MONTH(C2)=7,DAY(C2)&lt;=5),2.5,IF(AND(MONTH(C2)=7,DAY(C2)&gt;5),2,IF(AND(MONTH(C2)=8,DAY(C2)&lt;=5),1.5,IF(AND(MONTH(C2)=8,DAY(C2)&gt;5),1,0)))))</f>
        <v>0.5</v>
      </c>
      <c r="F200" s="4">
        <f t="shared" ref="F200:H200" si="49">IF(AND(MONTH(D2)=9,DAY(D2)&lt;=5),0.5,IF(AND(MONTH(D2)=7,DAY(D2)&lt;=5),2.5,IF(AND(MONTH(D2)=7,DAY(D2)&gt;5),2,IF(AND(MONTH(D2)=8,DAY(D2)&lt;=5),1.5,IF(AND(MONTH(D2)=8,DAY(D2)&gt;5),1,0)))))</f>
        <v>0.5</v>
      </c>
      <c r="G200" s="4">
        <f t="shared" si="49"/>
        <v>0.5</v>
      </c>
      <c r="H200" s="4" t="e">
        <f t="shared" si="49"/>
        <v>#VALUE!</v>
      </c>
      <c r="I200" s="4" t="e">
        <f>IF(AND(MONTH(G2)=9,DAY(G2)&lt;=5),0.5,IF(AND(MONTH(G2)=7,DAY(G2)&lt;=5),2.5,IF(AND(MONTH(G2)=7,DAY(G2)&gt;5),2,IF(AND(MONTH(G2)=8,DAY(G2)&lt;=5),1.5,IF(AND(MONTH(G2)=8,DAY(G2)&gt;5),1,0)))))</f>
        <v>#VALUE!</v>
      </c>
    </row>
    <row r="201" spans="1:12">
      <c r="A201" s="211"/>
      <c r="B201" s="212" t="s">
        <v>183</v>
      </c>
      <c r="C201" s="212"/>
      <c r="D201" s="213"/>
      <c r="E201" s="4">
        <f>2.5-E200</f>
        <v>2</v>
      </c>
      <c r="F201" s="4">
        <f>IF(D4="",0,2.5-F200)</f>
        <v>2</v>
      </c>
      <c r="G201" s="4">
        <f t="shared" ref="G201:I201" si="50">IF(E4="",0,2.5-G200)</f>
        <v>2</v>
      </c>
      <c r="H201" s="4">
        <f t="shared" si="50"/>
        <v>0</v>
      </c>
      <c r="I201" s="4">
        <f t="shared" si="50"/>
        <v>0</v>
      </c>
    </row>
    <row r="202" spans="1:12">
      <c r="A202" s="210" t="s">
        <v>180</v>
      </c>
      <c r="B202" s="212" t="s">
        <v>182</v>
      </c>
      <c r="C202" s="212"/>
      <c r="D202" s="213"/>
      <c r="E202" s="4">
        <f>IF(AND(MONTH(C2)=7,DAY(C2)&lt;=5),2,IF(AND(MONTH(C2)=7,DAY(C2)&gt;5),1.5,IF(AND(MONTH(C2)=8,DAY(C2)&lt;=5),1,IF(AND(MONTH(C2)=8,DAY(C2)&gt;5),0.5,0))))</f>
        <v>0</v>
      </c>
      <c r="F202" s="4">
        <f t="shared" ref="F202:I202" si="51">IF(AND(MONTH(D2)=7,DAY(D2)&lt;=5),2,IF(AND(MONTH(D2)=7,DAY(D2)&gt;5),1.5,IF(AND(MONTH(D2)=8,DAY(D2)&lt;=5),1,IF(AND(MONTH(D2)=8,DAY(D2)&gt;5),0.5,0))))</f>
        <v>0</v>
      </c>
      <c r="G202" s="4">
        <f t="shared" si="51"/>
        <v>0</v>
      </c>
      <c r="H202" s="4" t="e">
        <f t="shared" si="51"/>
        <v>#VALUE!</v>
      </c>
      <c r="I202" s="4" t="e">
        <f t="shared" si="51"/>
        <v>#VALUE!</v>
      </c>
    </row>
    <row r="203" spans="1:12">
      <c r="A203" s="211"/>
      <c r="B203" s="212" t="s">
        <v>183</v>
      </c>
      <c r="C203" s="212"/>
      <c r="D203" s="213"/>
      <c r="E203" s="4">
        <f>2-E202</f>
        <v>2</v>
      </c>
      <c r="F203" s="4">
        <f>IF(D4="",0,2-F202)</f>
        <v>2</v>
      </c>
      <c r="G203" s="4">
        <f t="shared" ref="G203:I203" si="52">IF(E4="",0,2-G202)</f>
        <v>2</v>
      </c>
      <c r="H203" s="4">
        <f t="shared" si="52"/>
        <v>0</v>
      </c>
      <c r="I203" s="4">
        <f t="shared" si="52"/>
        <v>0</v>
      </c>
    </row>
    <row r="204" spans="1:12">
      <c r="A204" s="210" t="s">
        <v>179</v>
      </c>
      <c r="B204" s="212" t="s">
        <v>184</v>
      </c>
      <c r="C204" s="212"/>
      <c r="D204" s="213"/>
      <c r="E204" s="205">
        <f>IF(E200&gt;C9,C9,E200)</f>
        <v>0.5</v>
      </c>
      <c r="F204" s="205">
        <f>IF(F200&gt;D9,D9,F200)</f>
        <v>0.5</v>
      </c>
      <c r="G204" s="205">
        <f t="shared" ref="G204:I204" si="53">IF(G200&gt;E9,E9,G200)</f>
        <v>0.5</v>
      </c>
      <c r="H204" s="205" t="e">
        <f t="shared" si="53"/>
        <v>#VALUE!</v>
      </c>
      <c r="I204" s="205" t="e">
        <f t="shared" si="53"/>
        <v>#VALUE!</v>
      </c>
    </row>
    <row r="205" spans="1:12">
      <c r="A205" s="211"/>
      <c r="B205" s="212" t="s">
        <v>185</v>
      </c>
      <c r="C205" s="212"/>
      <c r="D205" s="213"/>
      <c r="E205" s="205">
        <f>IF(E201&gt;C10,C10,E201)</f>
        <v>2</v>
      </c>
      <c r="F205" s="205">
        <f t="shared" ref="F205:I205" si="54">IF(F201&gt;D10,D10,F201)</f>
        <v>2</v>
      </c>
      <c r="G205" s="205">
        <f t="shared" si="54"/>
        <v>2</v>
      </c>
      <c r="H205" s="205">
        <f t="shared" si="54"/>
        <v>0</v>
      </c>
      <c r="I205" s="205">
        <f t="shared" si="54"/>
        <v>0</v>
      </c>
    </row>
    <row r="206" spans="1:12">
      <c r="A206" s="210" t="s">
        <v>180</v>
      </c>
      <c r="B206" s="212" t="s">
        <v>186</v>
      </c>
      <c r="C206" s="212"/>
      <c r="D206" s="213"/>
      <c r="E206" s="205">
        <f>IF(E202&gt;C9,C9,E202)</f>
        <v>0</v>
      </c>
      <c r="F206" s="205">
        <f t="shared" ref="F206:I206" si="55">IF(F202&gt;D9,D9,F202)</f>
        <v>0</v>
      </c>
      <c r="G206" s="205">
        <f t="shared" si="55"/>
        <v>0</v>
      </c>
      <c r="H206" s="205" t="e">
        <f t="shared" si="55"/>
        <v>#VALUE!</v>
      </c>
      <c r="I206" s="205" t="e">
        <f t="shared" si="55"/>
        <v>#VALUE!</v>
      </c>
    </row>
    <row r="207" spans="1:12">
      <c r="A207" s="211"/>
      <c r="B207" s="212" t="s">
        <v>185</v>
      </c>
      <c r="C207" s="212"/>
      <c r="D207" s="213"/>
      <c r="E207" s="205">
        <f>IF(E203&gt;C10,C10,E203)</f>
        <v>2</v>
      </c>
      <c r="F207" s="205">
        <f t="shared" ref="F207:I207" si="56">IF(F203&gt;D10,D10,F203)</f>
        <v>2</v>
      </c>
      <c r="G207" s="205">
        <f t="shared" si="56"/>
        <v>2</v>
      </c>
      <c r="H207" s="205">
        <f>IF(H203&gt;F10,F10,H203)</f>
        <v>0</v>
      </c>
      <c r="I207" s="205">
        <f t="shared" si="56"/>
        <v>0</v>
      </c>
    </row>
    <row r="208" spans="1:12">
      <c r="A208" s="204"/>
      <c r="B208" s="87"/>
      <c r="C208" s="87"/>
      <c r="D208" s="87"/>
      <c r="E208" s="23"/>
      <c r="F208" s="23"/>
      <c r="G208" s="23"/>
      <c r="H208" s="23"/>
      <c r="I208" s="23"/>
    </row>
    <row r="209" spans="1:12">
      <c r="E209" s="96"/>
      <c r="F209" s="17"/>
      <c r="G209" s="17"/>
      <c r="H209" s="17"/>
      <c r="I209" s="17"/>
    </row>
    <row r="210" spans="1:12">
      <c r="A210" s="2" t="s">
        <v>149</v>
      </c>
      <c r="E210" s="17"/>
      <c r="F210" s="17"/>
      <c r="G210" s="17"/>
      <c r="H210" s="17"/>
      <c r="I210" s="17"/>
    </row>
    <row r="211" spans="1:12">
      <c r="A211" s="2"/>
      <c r="B211" s="221" t="s">
        <v>10</v>
      </c>
      <c r="C211" s="221"/>
      <c r="D211" s="221" t="s">
        <v>11</v>
      </c>
      <c r="E211" s="221"/>
      <c r="F211" s="218" t="s">
        <v>12</v>
      </c>
      <c r="G211" s="218"/>
      <c r="H211" s="218" t="s">
        <v>25</v>
      </c>
      <c r="I211" s="218"/>
      <c r="J211" s="218" t="s">
        <v>13</v>
      </c>
      <c r="K211" s="218"/>
    </row>
    <row r="212" spans="1:12">
      <c r="A212" s="93" t="str">
        <f t="shared" ref="A212:A235" si="57">A171</f>
        <v>R. Grotjahn (PI)</v>
      </c>
      <c r="B212" s="4">
        <f>IF(L212="A",IF(H171&lt;$E$198,H171,$E$198),IF(L212="B",IF(H171&lt;$E$204,H171,$E$204),IF(L212="C",IF(H171&lt;$E$206,H171,$E$206),IF(L212="D",0))))</f>
        <v>0.36</v>
      </c>
      <c r="C212" s="88">
        <f t="shared" ref="C212:C235" si="58">H171-B212</f>
        <v>0</v>
      </c>
      <c r="D212" s="4">
        <f>IF(L212="A",IF(I171&lt;$F$198,I171,$F$198),IF(L212="B",IF(I171&lt;$F$204,I171,$F$204),IF(L212="C",IF(I171&lt;$F$206,I171,$F$206),IF(L212="D",0))))</f>
        <v>0.36</v>
      </c>
      <c r="E212" s="88">
        <f t="shared" ref="E212:E235" si="59">I171-D212</f>
        <v>0</v>
      </c>
      <c r="F212" s="4">
        <f>IF(L212="A",IF(J171&lt;$G$198,J171,$G$198),IF(L212="B",IF(J171&lt;$G$204,J171,$G$204),IF(L212="C",IF(J171&lt;$G$206,J171,$G$206),IF(L212="D",0))))</f>
        <v>0.36</v>
      </c>
      <c r="G212" s="88">
        <f t="shared" ref="G212:G235" si="60">J171-F212</f>
        <v>0</v>
      </c>
      <c r="H212" s="4" t="e">
        <f>IF(L212="A",IF(K171&lt;$H$198,K171,$H$198),IF(L212="B",IF(K171&lt;$H$204,K171,$H$204),IF(L212="C",IF(K171&lt;$H$206,K171,$H$206),IF(L212="D",0))))</f>
        <v>#VALUE!</v>
      </c>
      <c r="I212" s="88" t="e">
        <f t="shared" ref="I212:I235" si="61">K171-H212</f>
        <v>#VALUE!</v>
      </c>
      <c r="J212" s="4" t="e">
        <f>IF(L212="A",IF(L171&lt;$I$198,L171,$I$198),IF(L212="B",IF(L171&lt;$I$204,L171,$I$204),IF(L212="C",IF(L171&lt;$I$206,L171,$I$206),IF(L212="D",0))))</f>
        <v>#VALUE!</v>
      </c>
      <c r="K212" s="88" t="e">
        <f t="shared" ref="K212:K235" si="62">L171-J212</f>
        <v>#VALUE!</v>
      </c>
      <c r="L212" s="1" t="str">
        <f>IF(Request!D35="F-SMRA","A",IF(Request!D35="F-SMRB","B",IF(Request!D35="F-SMRC","C","D")))</f>
        <v>B</v>
      </c>
    </row>
    <row r="213" spans="1:12">
      <c r="A213" s="94" t="str">
        <f t="shared" si="57"/>
        <v>P. Ullrich (co-PI)</v>
      </c>
      <c r="B213" s="4">
        <f t="shared" ref="B213:B235" si="63">IF(L213="A",IF(H172&lt;$E$198,H172,$E$198),IF(L213="B",IF(H172&lt;$E$204,H172,$E$204),IF(L213="C",IF(H172&lt;$E$206,H172,$E$206),IF(L213="D",0))))</f>
        <v>0.5</v>
      </c>
      <c r="C213" s="88">
        <f t="shared" si="58"/>
        <v>0.21999999999999997</v>
      </c>
      <c r="D213" s="4">
        <f t="shared" ref="D213:D235" si="64">IF(L213="A",IF(I172&lt;$F$198,I172,$F$198),IF(L213="B",IF(I172&lt;$F$204,I172,$F$204),IF(L213="C",IF(I172&lt;$F$206,I172,$F$206),IF(L213="D",0))))</f>
        <v>0.5</v>
      </c>
      <c r="E213" s="88">
        <f t="shared" si="59"/>
        <v>0.24997000000000003</v>
      </c>
      <c r="F213" s="4">
        <f t="shared" ref="F213:F235" si="65">IF(L213="A",IF(J172&lt;$G$198,J172,$G$198),IF(L213="B",IF(J172&lt;$G$204,J172,$G$204),IF(L213="C",IF(J172&lt;$G$206,J172,$G$206),IF(L213="D",0))))</f>
        <v>0.5</v>
      </c>
      <c r="G213" s="88">
        <f t="shared" si="60"/>
        <v>0.24997000000000003</v>
      </c>
      <c r="H213" s="4" t="e">
        <f t="shared" ref="H213:H235" si="66">IF(L213="A",IF(K172&lt;$H$198,K172,$H$198),IF(L213="B",IF(K172&lt;$H$204,K172,$H$204),IF(L213="C",IF(K172&lt;$H$206,K172,$H$206),IF(L213="D",0))))</f>
        <v>#VALUE!</v>
      </c>
      <c r="I213" s="88" t="e">
        <f t="shared" si="61"/>
        <v>#VALUE!</v>
      </c>
      <c r="J213" s="4" t="e">
        <f t="shared" ref="J213:J235" si="67">IF(L213="A",IF(L172&lt;$I$198,L172,$I$198),IF(L213="B",IF(L172&lt;$I$204,L172,$I$204),IF(L213="C",IF(L172&lt;$I$206,L172,$I$206),IF(L213="D",0))))</f>
        <v>#VALUE!</v>
      </c>
      <c r="K213" s="88" t="e">
        <f t="shared" si="62"/>
        <v>#VALUE!</v>
      </c>
      <c r="L213" s="1" t="str">
        <f>IF(Request!D36="F-SMRA","A",IF(Request!D36="F-SMRB","B",IF(Request!D36="F-SMRC","C","D")))</f>
        <v>B</v>
      </c>
    </row>
    <row r="214" spans="1:12">
      <c r="A214" s="94" t="str">
        <f t="shared" si="57"/>
        <v>TBN (GSR IV)</v>
      </c>
      <c r="B214" s="4">
        <f t="shared" si="63"/>
        <v>0</v>
      </c>
      <c r="C214" s="88">
        <f t="shared" si="58"/>
        <v>5.5073699999999999</v>
      </c>
      <c r="D214" s="4">
        <f t="shared" si="64"/>
        <v>0</v>
      </c>
      <c r="E214" s="88">
        <f t="shared" si="59"/>
        <v>5.5073699999999999</v>
      </c>
      <c r="F214" s="4">
        <f t="shared" si="65"/>
        <v>0</v>
      </c>
      <c r="G214" s="88">
        <f t="shared" si="60"/>
        <v>5.5073699999999999</v>
      </c>
      <c r="H214" s="4">
        <f t="shared" si="66"/>
        <v>0</v>
      </c>
      <c r="I214" s="88">
        <f t="shared" si="61"/>
        <v>0</v>
      </c>
      <c r="J214" s="4">
        <f t="shared" si="67"/>
        <v>0</v>
      </c>
      <c r="K214" s="88">
        <f t="shared" si="62"/>
        <v>0</v>
      </c>
      <c r="L214" s="1" t="str">
        <f>IF(Request!D37="F-SMRA","A",IF(Request!D37="F-SMRB","B",IF(Request!D37="F-SMRC","C","D")))</f>
        <v>D</v>
      </c>
    </row>
    <row r="215" spans="1:12">
      <c r="A215" s="94" t="str">
        <f t="shared" si="57"/>
        <v>TBN (GSR IV)</v>
      </c>
      <c r="B215" s="4">
        <f t="shared" si="63"/>
        <v>0</v>
      </c>
      <c r="C215" s="88">
        <f t="shared" si="58"/>
        <v>5.5073699999999999</v>
      </c>
      <c r="D215" s="4">
        <f t="shared" si="64"/>
        <v>0</v>
      </c>
      <c r="E215" s="88">
        <f t="shared" si="59"/>
        <v>5.5073699999999999</v>
      </c>
      <c r="F215" s="4">
        <f t="shared" si="65"/>
        <v>0</v>
      </c>
      <c r="G215" s="88">
        <f t="shared" si="60"/>
        <v>5.5073699999999999</v>
      </c>
      <c r="H215" s="4">
        <f t="shared" si="66"/>
        <v>0</v>
      </c>
      <c r="I215" s="88">
        <f t="shared" si="61"/>
        <v>0</v>
      </c>
      <c r="J215" s="4">
        <f t="shared" si="67"/>
        <v>0</v>
      </c>
      <c r="K215" s="88">
        <f t="shared" si="62"/>
        <v>0</v>
      </c>
      <c r="L215" s="1" t="str">
        <f>IF(Request!D38="F-SMRA","A",IF(Request!D38="F-SMRB","B",IF(Request!D38="F-SMRC","C","D")))</f>
        <v>D</v>
      </c>
    </row>
    <row r="216" spans="1:12">
      <c r="A216" s="94">
        <f t="shared" si="57"/>
        <v>0</v>
      </c>
      <c r="B216" s="4">
        <f t="shared" si="63"/>
        <v>0</v>
      </c>
      <c r="C216" s="88">
        <f t="shared" si="58"/>
        <v>0</v>
      </c>
      <c r="D216" s="4">
        <f t="shared" si="64"/>
        <v>0</v>
      </c>
      <c r="E216" s="88">
        <f t="shared" si="59"/>
        <v>0</v>
      </c>
      <c r="F216" s="4">
        <f t="shared" si="65"/>
        <v>0</v>
      </c>
      <c r="G216" s="88">
        <f t="shared" si="60"/>
        <v>0</v>
      </c>
      <c r="H216" s="4">
        <f t="shared" si="66"/>
        <v>0</v>
      </c>
      <c r="I216" s="88">
        <f t="shared" si="61"/>
        <v>0</v>
      </c>
      <c r="J216" s="4">
        <f t="shared" si="67"/>
        <v>0</v>
      </c>
      <c r="K216" s="88">
        <f t="shared" si="62"/>
        <v>0</v>
      </c>
      <c r="L216" s="1" t="str">
        <f>IF(Request!D39="F-SMRA","A",IF(Request!D39="F-SMRB","B",IF(Request!D39="F-SMRC","C","D")))</f>
        <v>D</v>
      </c>
    </row>
    <row r="217" spans="1:12">
      <c r="A217" s="94">
        <f t="shared" si="57"/>
        <v>0</v>
      </c>
      <c r="B217" s="4">
        <f t="shared" si="63"/>
        <v>0</v>
      </c>
      <c r="C217" s="88">
        <f t="shared" si="58"/>
        <v>0</v>
      </c>
      <c r="D217" s="4">
        <f t="shared" si="64"/>
        <v>0</v>
      </c>
      <c r="E217" s="88">
        <f t="shared" si="59"/>
        <v>0</v>
      </c>
      <c r="F217" s="4">
        <f t="shared" si="65"/>
        <v>0</v>
      </c>
      <c r="G217" s="88">
        <f t="shared" si="60"/>
        <v>0</v>
      </c>
      <c r="H217" s="4">
        <f t="shared" si="66"/>
        <v>0</v>
      </c>
      <c r="I217" s="88">
        <f t="shared" si="61"/>
        <v>0</v>
      </c>
      <c r="J217" s="4">
        <f>IF(L217="A",IF(L176&lt;$I$198,L176,$I$198),IF(L217="B",IF(L176&lt;$I$204,L176,$I$204),IF(L217="C",IF(L176&lt;$I$206,L176,$I$206),IF(L217="D",0))))</f>
        <v>0</v>
      </c>
      <c r="K217" s="88">
        <f t="shared" si="62"/>
        <v>0</v>
      </c>
      <c r="L217" s="1" t="str">
        <f>IF(Request!D40="F-SMRA","A",IF(Request!D40="F-SMRB","B",IF(Request!D40="F-SMRC","C","D")))</f>
        <v>D</v>
      </c>
    </row>
    <row r="218" spans="1:12">
      <c r="A218" s="94">
        <f t="shared" si="57"/>
        <v>0</v>
      </c>
      <c r="B218" s="4">
        <f t="shared" si="63"/>
        <v>0</v>
      </c>
      <c r="C218" s="88">
        <f t="shared" si="58"/>
        <v>0</v>
      </c>
      <c r="D218" s="4">
        <f t="shared" si="64"/>
        <v>0</v>
      </c>
      <c r="E218" s="88">
        <f t="shared" si="59"/>
        <v>0</v>
      </c>
      <c r="F218" s="4">
        <f t="shared" si="65"/>
        <v>0</v>
      </c>
      <c r="G218" s="88">
        <f t="shared" si="60"/>
        <v>0</v>
      </c>
      <c r="H218" s="4">
        <f t="shared" si="66"/>
        <v>0</v>
      </c>
      <c r="I218" s="88">
        <f t="shared" si="61"/>
        <v>0</v>
      </c>
      <c r="J218" s="4">
        <f t="shared" si="67"/>
        <v>0</v>
      </c>
      <c r="K218" s="88">
        <f t="shared" si="62"/>
        <v>0</v>
      </c>
      <c r="L218" s="1" t="str">
        <f>IF(Request!D41="F-SMRA","A",IF(Request!D41="F-SMRB","B",IF(Request!D41="F-SMRC","C","D")))</f>
        <v>D</v>
      </c>
    </row>
    <row r="219" spans="1:12">
      <c r="A219" s="94">
        <f t="shared" si="57"/>
        <v>0</v>
      </c>
      <c r="B219" s="4">
        <f t="shared" si="63"/>
        <v>0</v>
      </c>
      <c r="C219" s="88">
        <f t="shared" si="58"/>
        <v>0</v>
      </c>
      <c r="D219" s="4">
        <f t="shared" si="64"/>
        <v>0</v>
      </c>
      <c r="E219" s="88">
        <f t="shared" si="59"/>
        <v>0</v>
      </c>
      <c r="F219" s="4">
        <f t="shared" si="65"/>
        <v>0</v>
      </c>
      <c r="G219" s="88">
        <f t="shared" si="60"/>
        <v>0</v>
      </c>
      <c r="H219" s="4">
        <f t="shared" si="66"/>
        <v>0</v>
      </c>
      <c r="I219" s="88">
        <f t="shared" si="61"/>
        <v>0</v>
      </c>
      <c r="J219" s="4">
        <f t="shared" si="67"/>
        <v>0</v>
      </c>
      <c r="K219" s="88">
        <f t="shared" si="62"/>
        <v>0</v>
      </c>
      <c r="L219" s="1" t="str">
        <f>IF(Request!D42="F-SMRA","A",IF(Request!D42="F-SMRB","B",IF(Request!D42="F-SMRC","C","D")))</f>
        <v>D</v>
      </c>
    </row>
    <row r="220" spans="1:12">
      <c r="A220" s="94">
        <f t="shared" si="57"/>
        <v>0</v>
      </c>
      <c r="B220" s="4">
        <f t="shared" si="63"/>
        <v>0</v>
      </c>
      <c r="C220" s="88">
        <f t="shared" si="58"/>
        <v>0</v>
      </c>
      <c r="D220" s="4">
        <f t="shared" si="64"/>
        <v>0</v>
      </c>
      <c r="E220" s="88">
        <f t="shared" si="59"/>
        <v>0</v>
      </c>
      <c r="F220" s="4">
        <f t="shared" si="65"/>
        <v>0</v>
      </c>
      <c r="G220" s="88">
        <f t="shared" si="60"/>
        <v>0</v>
      </c>
      <c r="H220" s="4">
        <f t="shared" si="66"/>
        <v>0</v>
      </c>
      <c r="I220" s="88">
        <f t="shared" si="61"/>
        <v>0</v>
      </c>
      <c r="J220" s="4">
        <f t="shared" si="67"/>
        <v>0</v>
      </c>
      <c r="K220" s="88">
        <f t="shared" si="62"/>
        <v>0</v>
      </c>
      <c r="L220" s="1" t="str">
        <f>IF(Request!D43="F-SMRA","A",IF(Request!D43="F-SMRB","B",IF(Request!D43="F-SMRC","C","D")))</f>
        <v>D</v>
      </c>
    </row>
    <row r="221" spans="1:12">
      <c r="A221" s="94">
        <f t="shared" si="57"/>
        <v>0</v>
      </c>
      <c r="B221" s="4">
        <f t="shared" si="63"/>
        <v>0</v>
      </c>
      <c r="C221" s="88">
        <f t="shared" si="58"/>
        <v>0</v>
      </c>
      <c r="D221" s="4">
        <f t="shared" si="64"/>
        <v>0</v>
      </c>
      <c r="E221" s="88">
        <f t="shared" si="59"/>
        <v>0</v>
      </c>
      <c r="F221" s="4">
        <f t="shared" si="65"/>
        <v>0</v>
      </c>
      <c r="G221" s="88">
        <f t="shared" si="60"/>
        <v>0</v>
      </c>
      <c r="H221" s="4">
        <f t="shared" si="66"/>
        <v>0</v>
      </c>
      <c r="I221" s="88">
        <f t="shared" si="61"/>
        <v>0</v>
      </c>
      <c r="J221" s="4">
        <f t="shared" si="67"/>
        <v>0</v>
      </c>
      <c r="K221" s="88">
        <f t="shared" si="62"/>
        <v>0</v>
      </c>
      <c r="L221" s="1" t="str">
        <f>IF(Request!D44="F-SMRA","A",IF(Request!D44="F-SMRB","B",IF(Request!D44="F-SMRC","C","D")))</f>
        <v>D</v>
      </c>
    </row>
    <row r="222" spans="1:12">
      <c r="A222" s="94">
        <f t="shared" si="57"/>
        <v>0</v>
      </c>
      <c r="B222" s="4">
        <f t="shared" si="63"/>
        <v>0</v>
      </c>
      <c r="C222" s="88">
        <f t="shared" si="58"/>
        <v>0</v>
      </c>
      <c r="D222" s="4">
        <f t="shared" si="64"/>
        <v>0</v>
      </c>
      <c r="E222" s="88">
        <f t="shared" si="59"/>
        <v>0</v>
      </c>
      <c r="F222" s="4">
        <f t="shared" si="65"/>
        <v>0</v>
      </c>
      <c r="G222" s="88">
        <f t="shared" si="60"/>
        <v>0</v>
      </c>
      <c r="H222" s="4">
        <f t="shared" si="66"/>
        <v>0</v>
      </c>
      <c r="I222" s="88">
        <f t="shared" si="61"/>
        <v>0</v>
      </c>
      <c r="J222" s="4">
        <f t="shared" si="67"/>
        <v>0</v>
      </c>
      <c r="K222" s="88">
        <f t="shared" si="62"/>
        <v>0</v>
      </c>
      <c r="L222" s="1" t="str">
        <f>IF(Request!D45="F-SMRA","A",IF(Request!D45="F-SMRB","B",IF(Request!D45="F-SMRC","C","D")))</f>
        <v>D</v>
      </c>
    </row>
    <row r="223" spans="1:12">
      <c r="A223" s="94">
        <f t="shared" si="57"/>
        <v>0</v>
      </c>
      <c r="B223" s="4">
        <f t="shared" si="63"/>
        <v>0</v>
      </c>
      <c r="C223" s="88">
        <f t="shared" si="58"/>
        <v>0</v>
      </c>
      <c r="D223" s="4">
        <f t="shared" si="64"/>
        <v>0</v>
      </c>
      <c r="E223" s="88">
        <f t="shared" si="59"/>
        <v>0</v>
      </c>
      <c r="F223" s="4">
        <f t="shared" si="65"/>
        <v>0</v>
      </c>
      <c r="G223" s="88">
        <f t="shared" si="60"/>
        <v>0</v>
      </c>
      <c r="H223" s="4">
        <f t="shared" si="66"/>
        <v>0</v>
      </c>
      <c r="I223" s="88">
        <f t="shared" si="61"/>
        <v>0</v>
      </c>
      <c r="J223" s="4">
        <f t="shared" si="67"/>
        <v>0</v>
      </c>
      <c r="K223" s="88">
        <f t="shared" si="62"/>
        <v>0</v>
      </c>
      <c r="L223" s="1" t="str">
        <f>IF(Request!D46="F-SMRA","A",IF(Request!D46="F-SMRB","B",IF(Request!D46="F-SMRC","C","D")))</f>
        <v>D</v>
      </c>
    </row>
    <row r="224" spans="1:12">
      <c r="A224" s="94">
        <f t="shared" si="57"/>
        <v>0</v>
      </c>
      <c r="B224" s="4">
        <f t="shared" si="63"/>
        <v>0</v>
      </c>
      <c r="C224" s="88">
        <f t="shared" si="58"/>
        <v>0</v>
      </c>
      <c r="D224" s="4">
        <f t="shared" si="64"/>
        <v>0</v>
      </c>
      <c r="E224" s="88">
        <f t="shared" si="59"/>
        <v>0</v>
      </c>
      <c r="F224" s="4">
        <f t="shared" si="65"/>
        <v>0</v>
      </c>
      <c r="G224" s="88">
        <f t="shared" si="60"/>
        <v>0</v>
      </c>
      <c r="H224" s="4">
        <f t="shared" si="66"/>
        <v>0</v>
      </c>
      <c r="I224" s="88">
        <f t="shared" si="61"/>
        <v>0</v>
      </c>
      <c r="J224" s="4">
        <f t="shared" si="67"/>
        <v>0</v>
      </c>
      <c r="K224" s="88">
        <f t="shared" si="62"/>
        <v>0</v>
      </c>
      <c r="L224" s="1" t="str">
        <f>IF(Request!D47="F-SMRA","A",IF(Request!D47="F-SMRB","B",IF(Request!D47="F-SMRC","C","D")))</f>
        <v>D</v>
      </c>
    </row>
    <row r="225" spans="1:12">
      <c r="A225" s="94">
        <f t="shared" si="57"/>
        <v>0</v>
      </c>
      <c r="B225" s="4">
        <f t="shared" si="63"/>
        <v>0</v>
      </c>
      <c r="C225" s="88">
        <f t="shared" si="58"/>
        <v>0</v>
      </c>
      <c r="D225" s="4">
        <f t="shared" si="64"/>
        <v>0</v>
      </c>
      <c r="E225" s="88">
        <f t="shared" si="59"/>
        <v>0</v>
      </c>
      <c r="F225" s="4">
        <f t="shared" si="65"/>
        <v>0</v>
      </c>
      <c r="G225" s="88">
        <f t="shared" si="60"/>
        <v>0</v>
      </c>
      <c r="H225" s="4">
        <f t="shared" si="66"/>
        <v>0</v>
      </c>
      <c r="I225" s="88">
        <f t="shared" si="61"/>
        <v>0</v>
      </c>
      <c r="J225" s="4">
        <f t="shared" si="67"/>
        <v>0</v>
      </c>
      <c r="K225" s="88">
        <f t="shared" si="62"/>
        <v>0</v>
      </c>
      <c r="L225" s="1" t="str">
        <f>IF(Request!D48="F-SMRA","A",IF(Request!D48="F-SMRB","B",IF(Request!D48="F-SMRC","C","D")))</f>
        <v>D</v>
      </c>
    </row>
    <row r="226" spans="1:12">
      <c r="A226" s="94">
        <f t="shared" si="57"/>
        <v>0</v>
      </c>
      <c r="B226" s="4">
        <f t="shared" si="63"/>
        <v>0</v>
      </c>
      <c r="C226" s="88">
        <f t="shared" si="58"/>
        <v>0</v>
      </c>
      <c r="D226" s="4">
        <f t="shared" si="64"/>
        <v>0</v>
      </c>
      <c r="E226" s="88">
        <f t="shared" si="59"/>
        <v>0</v>
      </c>
      <c r="F226" s="4">
        <f t="shared" si="65"/>
        <v>0</v>
      </c>
      <c r="G226" s="88">
        <f t="shared" si="60"/>
        <v>0</v>
      </c>
      <c r="H226" s="4">
        <f t="shared" si="66"/>
        <v>0</v>
      </c>
      <c r="I226" s="88">
        <f t="shared" si="61"/>
        <v>0</v>
      </c>
      <c r="J226" s="4">
        <f t="shared" si="67"/>
        <v>0</v>
      </c>
      <c r="K226" s="88">
        <f t="shared" si="62"/>
        <v>0</v>
      </c>
      <c r="L226" s="1" t="str">
        <f>IF(Request!D49="F-SMRA","A",IF(Request!D49="F-SMRB","B",IF(Request!D49="F-SMRC","C","D")))</f>
        <v>D</v>
      </c>
    </row>
    <row r="227" spans="1:12">
      <c r="A227" s="94">
        <f t="shared" si="57"/>
        <v>0</v>
      </c>
      <c r="B227" s="4">
        <f t="shared" si="63"/>
        <v>0</v>
      </c>
      <c r="C227" s="88">
        <f t="shared" si="58"/>
        <v>0</v>
      </c>
      <c r="D227" s="4">
        <f t="shared" si="64"/>
        <v>0</v>
      </c>
      <c r="E227" s="88">
        <f t="shared" si="59"/>
        <v>0</v>
      </c>
      <c r="F227" s="4">
        <f t="shared" si="65"/>
        <v>0</v>
      </c>
      <c r="G227" s="88">
        <f t="shared" si="60"/>
        <v>0</v>
      </c>
      <c r="H227" s="4">
        <f t="shared" si="66"/>
        <v>0</v>
      </c>
      <c r="I227" s="88">
        <f t="shared" si="61"/>
        <v>0</v>
      </c>
      <c r="J227" s="4">
        <f t="shared" si="67"/>
        <v>0</v>
      </c>
      <c r="K227" s="88">
        <f t="shared" si="62"/>
        <v>0</v>
      </c>
      <c r="L227" s="1" t="str">
        <f>IF(Request!D50="F-SMRA","A",IF(Request!D50="F-SMRB","B",IF(Request!D50="F-SMRC","C","D")))</f>
        <v>D</v>
      </c>
    </row>
    <row r="228" spans="1:12">
      <c r="A228" s="94">
        <f t="shared" si="57"/>
        <v>0</v>
      </c>
      <c r="B228" s="4">
        <f t="shared" si="63"/>
        <v>0</v>
      </c>
      <c r="C228" s="88">
        <f t="shared" si="58"/>
        <v>0</v>
      </c>
      <c r="D228" s="4">
        <f t="shared" si="64"/>
        <v>0</v>
      </c>
      <c r="E228" s="88">
        <f t="shared" si="59"/>
        <v>0</v>
      </c>
      <c r="F228" s="4">
        <f t="shared" si="65"/>
        <v>0</v>
      </c>
      <c r="G228" s="88">
        <f t="shared" si="60"/>
        <v>0</v>
      </c>
      <c r="H228" s="4">
        <f t="shared" si="66"/>
        <v>0</v>
      </c>
      <c r="I228" s="88">
        <f t="shared" si="61"/>
        <v>0</v>
      </c>
      <c r="J228" s="4">
        <f t="shared" si="67"/>
        <v>0</v>
      </c>
      <c r="K228" s="88">
        <f t="shared" si="62"/>
        <v>0</v>
      </c>
      <c r="L228" s="1" t="str">
        <f>IF(Request!D51="F-SMRA","A",IF(Request!D51="F-SMRB","B",IF(Request!D51="F-SMRC","C","D")))</f>
        <v>D</v>
      </c>
    </row>
    <row r="229" spans="1:12">
      <c r="A229" s="94">
        <f t="shared" si="57"/>
        <v>0</v>
      </c>
      <c r="B229" s="4">
        <f t="shared" si="63"/>
        <v>0</v>
      </c>
      <c r="C229" s="88">
        <f t="shared" si="58"/>
        <v>0</v>
      </c>
      <c r="D229" s="4">
        <f t="shared" si="64"/>
        <v>0</v>
      </c>
      <c r="E229" s="88">
        <f t="shared" si="59"/>
        <v>0</v>
      </c>
      <c r="F229" s="4">
        <f t="shared" si="65"/>
        <v>0</v>
      </c>
      <c r="G229" s="88">
        <f t="shared" si="60"/>
        <v>0</v>
      </c>
      <c r="H229" s="4">
        <f t="shared" si="66"/>
        <v>0</v>
      </c>
      <c r="I229" s="88">
        <f t="shared" si="61"/>
        <v>0</v>
      </c>
      <c r="J229" s="4">
        <f t="shared" si="67"/>
        <v>0</v>
      </c>
      <c r="K229" s="88">
        <f t="shared" si="62"/>
        <v>0</v>
      </c>
      <c r="L229" s="1" t="str">
        <f>IF(Request!D52="F-SMRA","A",IF(Request!D52="F-SMRB","B",IF(Request!D52="F-SMRC","C","D")))</f>
        <v>D</v>
      </c>
    </row>
    <row r="230" spans="1:12">
      <c r="A230" s="94">
        <f t="shared" si="57"/>
        <v>0</v>
      </c>
      <c r="B230" s="4">
        <f t="shared" si="63"/>
        <v>0</v>
      </c>
      <c r="C230" s="88">
        <f t="shared" si="58"/>
        <v>0</v>
      </c>
      <c r="D230" s="4">
        <f t="shared" si="64"/>
        <v>0</v>
      </c>
      <c r="E230" s="88">
        <f t="shared" si="59"/>
        <v>0</v>
      </c>
      <c r="F230" s="4">
        <f t="shared" si="65"/>
        <v>0</v>
      </c>
      <c r="G230" s="88">
        <f t="shared" si="60"/>
        <v>0</v>
      </c>
      <c r="H230" s="4">
        <f t="shared" si="66"/>
        <v>0</v>
      </c>
      <c r="I230" s="88">
        <f t="shared" si="61"/>
        <v>0</v>
      </c>
      <c r="J230" s="4">
        <f t="shared" si="67"/>
        <v>0</v>
      </c>
      <c r="K230" s="88">
        <f t="shared" si="62"/>
        <v>0</v>
      </c>
      <c r="L230" s="1" t="str">
        <f>IF(Request!D53="F-SMRA","A",IF(Request!D53="F-SMRB","B",IF(Request!D53="F-SMRC","C","D")))</f>
        <v>D</v>
      </c>
    </row>
    <row r="231" spans="1:12">
      <c r="A231" s="94">
        <f t="shared" si="57"/>
        <v>0</v>
      </c>
      <c r="B231" s="4">
        <f t="shared" si="63"/>
        <v>0</v>
      </c>
      <c r="C231" s="88">
        <f t="shared" si="58"/>
        <v>0</v>
      </c>
      <c r="D231" s="4">
        <f t="shared" si="64"/>
        <v>0</v>
      </c>
      <c r="E231" s="88">
        <f t="shared" si="59"/>
        <v>0</v>
      </c>
      <c r="F231" s="4">
        <f t="shared" si="65"/>
        <v>0</v>
      </c>
      <c r="G231" s="88">
        <f t="shared" si="60"/>
        <v>0</v>
      </c>
      <c r="H231" s="4">
        <f t="shared" si="66"/>
        <v>0</v>
      </c>
      <c r="I231" s="88">
        <f t="shared" si="61"/>
        <v>0</v>
      </c>
      <c r="J231" s="4">
        <f t="shared" si="67"/>
        <v>0</v>
      </c>
      <c r="K231" s="88">
        <f t="shared" si="62"/>
        <v>0</v>
      </c>
      <c r="L231" s="1" t="str">
        <f>IF(Request!D54="F-SMRA","A",IF(Request!D54="F-SMRB","B",IF(Request!D54="F-SMRC","C","D")))</f>
        <v>D</v>
      </c>
    </row>
    <row r="232" spans="1:12">
      <c r="A232" s="94">
        <f t="shared" si="57"/>
        <v>0</v>
      </c>
      <c r="B232" s="4">
        <f t="shared" si="63"/>
        <v>0</v>
      </c>
      <c r="C232" s="88">
        <f t="shared" si="58"/>
        <v>0</v>
      </c>
      <c r="D232" s="4">
        <f t="shared" si="64"/>
        <v>0</v>
      </c>
      <c r="E232" s="88">
        <f t="shared" si="59"/>
        <v>0</v>
      </c>
      <c r="F232" s="4">
        <f t="shared" si="65"/>
        <v>0</v>
      </c>
      <c r="G232" s="88">
        <f t="shared" si="60"/>
        <v>0</v>
      </c>
      <c r="H232" s="4">
        <f t="shared" si="66"/>
        <v>0</v>
      </c>
      <c r="I232" s="88">
        <f t="shared" si="61"/>
        <v>0</v>
      </c>
      <c r="J232" s="4">
        <f t="shared" si="67"/>
        <v>0</v>
      </c>
      <c r="K232" s="88">
        <f t="shared" si="62"/>
        <v>0</v>
      </c>
      <c r="L232" s="1" t="str">
        <f>IF(Request!D55="F-SMRA","A",IF(Request!D55="F-SMRB","B",IF(Request!D55="F-SMRC","C","D")))</f>
        <v>D</v>
      </c>
    </row>
    <row r="233" spans="1:12">
      <c r="A233" s="94">
        <f t="shared" si="57"/>
        <v>0</v>
      </c>
      <c r="B233" s="4">
        <f t="shared" si="63"/>
        <v>0</v>
      </c>
      <c r="C233" s="88">
        <f t="shared" si="58"/>
        <v>0</v>
      </c>
      <c r="D233" s="4">
        <f t="shared" si="64"/>
        <v>0</v>
      </c>
      <c r="E233" s="88">
        <f t="shared" si="59"/>
        <v>0</v>
      </c>
      <c r="F233" s="4">
        <f t="shared" si="65"/>
        <v>0</v>
      </c>
      <c r="G233" s="88">
        <f t="shared" si="60"/>
        <v>0</v>
      </c>
      <c r="H233" s="4">
        <f t="shared" si="66"/>
        <v>0</v>
      </c>
      <c r="I233" s="88">
        <f t="shared" si="61"/>
        <v>0</v>
      </c>
      <c r="J233" s="4">
        <f t="shared" si="67"/>
        <v>0</v>
      </c>
      <c r="K233" s="88">
        <f t="shared" si="62"/>
        <v>0</v>
      </c>
      <c r="L233" s="1" t="str">
        <f>IF(Request!D56="F-SMRA","A",IF(Request!D56="F-SMRB","B",IF(Request!D56="F-SMRC","C","D")))</f>
        <v>D</v>
      </c>
    </row>
    <row r="234" spans="1:12">
      <c r="A234" s="94">
        <f t="shared" si="57"/>
        <v>0</v>
      </c>
      <c r="B234" s="4">
        <f t="shared" si="63"/>
        <v>0</v>
      </c>
      <c r="C234" s="88">
        <f t="shared" si="58"/>
        <v>0</v>
      </c>
      <c r="D234" s="4">
        <f t="shared" si="64"/>
        <v>0</v>
      </c>
      <c r="E234" s="88">
        <f t="shared" si="59"/>
        <v>0</v>
      </c>
      <c r="F234" s="4">
        <f t="shared" si="65"/>
        <v>0</v>
      </c>
      <c r="G234" s="88">
        <f t="shared" si="60"/>
        <v>0</v>
      </c>
      <c r="H234" s="4">
        <f t="shared" si="66"/>
        <v>0</v>
      </c>
      <c r="I234" s="88">
        <f t="shared" si="61"/>
        <v>0</v>
      </c>
      <c r="J234" s="4">
        <f t="shared" si="67"/>
        <v>0</v>
      </c>
      <c r="K234" s="88">
        <f t="shared" si="62"/>
        <v>0</v>
      </c>
      <c r="L234" s="1" t="str">
        <f>IF(Request!D57="F-SMRA","A",IF(Request!D57="F-SMRB","B",IF(Request!D57="F-SMRC","C","D")))</f>
        <v>D</v>
      </c>
    </row>
    <row r="235" spans="1:12">
      <c r="A235" s="95">
        <f t="shared" si="57"/>
        <v>0</v>
      </c>
      <c r="B235" s="4">
        <f t="shared" si="63"/>
        <v>0</v>
      </c>
      <c r="C235" s="88">
        <f t="shared" si="58"/>
        <v>0</v>
      </c>
      <c r="D235" s="4">
        <f t="shared" si="64"/>
        <v>0</v>
      </c>
      <c r="E235" s="88">
        <f t="shared" si="59"/>
        <v>0</v>
      </c>
      <c r="F235" s="4">
        <f t="shared" si="65"/>
        <v>0</v>
      </c>
      <c r="G235" s="88">
        <f t="shared" si="60"/>
        <v>0</v>
      </c>
      <c r="H235" s="4">
        <f t="shared" si="66"/>
        <v>0</v>
      </c>
      <c r="I235" s="88">
        <f t="shared" si="61"/>
        <v>0</v>
      </c>
      <c r="J235" s="4">
        <f t="shared" si="67"/>
        <v>0</v>
      </c>
      <c r="K235" s="88">
        <f t="shared" si="62"/>
        <v>0</v>
      </c>
      <c r="L235" s="1" t="str">
        <f>IF(Request!D58="F-SMRA","A",IF(Request!D58="F-SMRB","B",IF(Request!D58="F-SMRC","C","D")))</f>
        <v>D</v>
      </c>
    </row>
    <row r="239" spans="1:12">
      <c r="E239" s="96"/>
      <c r="F239" s="17"/>
      <c r="G239" s="17"/>
      <c r="H239" s="17"/>
      <c r="I239" s="17"/>
    </row>
    <row r="240" spans="1:12">
      <c r="A240" s="99" t="s">
        <v>150</v>
      </c>
      <c r="B240" s="224" t="s">
        <v>10</v>
      </c>
      <c r="C240" s="224"/>
      <c r="D240" s="224" t="s">
        <v>11</v>
      </c>
      <c r="E240" s="224"/>
      <c r="F240" s="224" t="s">
        <v>12</v>
      </c>
      <c r="G240" s="224"/>
      <c r="H240" s="224" t="s">
        <v>25</v>
      </c>
      <c r="I240" s="224"/>
      <c r="J240" s="224" t="s">
        <v>13</v>
      </c>
      <c r="K240" s="224"/>
    </row>
    <row r="241" spans="1:11">
      <c r="A241" s="99"/>
      <c r="B241" s="102">
        <f t="shared" ref="B241:K241" si="68">B56</f>
        <v>0.17</v>
      </c>
      <c r="C241" s="102">
        <f t="shared" si="68"/>
        <v>0.18</v>
      </c>
      <c r="D241" s="102">
        <f t="shared" si="68"/>
        <v>0.18</v>
      </c>
      <c r="E241" s="102">
        <f t="shared" si="68"/>
        <v>0.185</v>
      </c>
      <c r="F241" s="102">
        <f t="shared" si="68"/>
        <v>0.185</v>
      </c>
      <c r="G241" s="102">
        <f t="shared" si="68"/>
        <v>0.191</v>
      </c>
      <c r="H241" s="102">
        <f t="shared" si="68"/>
        <v>0</v>
      </c>
      <c r="I241" s="102">
        <f t="shared" si="68"/>
        <v>0</v>
      </c>
      <c r="J241" s="102">
        <f t="shared" si="68"/>
        <v>0</v>
      </c>
      <c r="K241" s="102">
        <f t="shared" si="68"/>
        <v>0</v>
      </c>
    </row>
    <row r="242" spans="1:11">
      <c r="A242" s="93" t="str">
        <f>A212</f>
        <v>R. Grotjahn (PI)</v>
      </c>
      <c r="B242" s="4">
        <f>B212</f>
        <v>0.36</v>
      </c>
      <c r="C242" s="4">
        <f t="shared" ref="C242:K242" si="69">C212</f>
        <v>0</v>
      </c>
      <c r="D242" s="4">
        <f t="shared" si="69"/>
        <v>0.36</v>
      </c>
      <c r="E242" s="4">
        <f t="shared" si="69"/>
        <v>0</v>
      </c>
      <c r="F242" s="4">
        <f t="shared" si="69"/>
        <v>0.36</v>
      </c>
      <c r="G242" s="4">
        <f t="shared" si="69"/>
        <v>0</v>
      </c>
      <c r="H242" s="4" t="e">
        <f t="shared" si="69"/>
        <v>#VALUE!</v>
      </c>
      <c r="I242" s="4" t="e">
        <f t="shared" si="69"/>
        <v>#VALUE!</v>
      </c>
      <c r="J242" s="4" t="e">
        <f t="shared" si="69"/>
        <v>#VALUE!</v>
      </c>
      <c r="K242" s="4" t="e">
        <f t="shared" si="69"/>
        <v>#VALUE!</v>
      </c>
    </row>
    <row r="243" spans="1:11">
      <c r="A243" s="93" t="str">
        <f t="shared" ref="A243:K265" si="70">A213</f>
        <v>P. Ullrich (co-PI)</v>
      </c>
      <c r="B243" s="4">
        <f t="shared" si="70"/>
        <v>0.5</v>
      </c>
      <c r="C243" s="4">
        <f t="shared" si="70"/>
        <v>0.21999999999999997</v>
      </c>
      <c r="D243" s="4">
        <f t="shared" si="70"/>
        <v>0.5</v>
      </c>
      <c r="E243" s="4">
        <f t="shared" si="70"/>
        <v>0.24997000000000003</v>
      </c>
      <c r="F243" s="4">
        <f t="shared" si="70"/>
        <v>0.5</v>
      </c>
      <c r="G243" s="4">
        <f t="shared" si="70"/>
        <v>0.24997000000000003</v>
      </c>
      <c r="H243" s="4" t="e">
        <f t="shared" si="70"/>
        <v>#VALUE!</v>
      </c>
      <c r="I243" s="4" t="e">
        <f t="shared" si="70"/>
        <v>#VALUE!</v>
      </c>
      <c r="J243" s="4" t="e">
        <f t="shared" si="70"/>
        <v>#VALUE!</v>
      </c>
      <c r="K243" s="4" t="e">
        <f t="shared" si="70"/>
        <v>#VALUE!</v>
      </c>
    </row>
    <row r="244" spans="1:11">
      <c r="A244" s="93" t="str">
        <f t="shared" si="70"/>
        <v>TBN (GSR IV)</v>
      </c>
      <c r="B244" s="4">
        <f t="shared" si="70"/>
        <v>0</v>
      </c>
      <c r="C244" s="4">
        <f t="shared" si="70"/>
        <v>5.5073699999999999</v>
      </c>
      <c r="D244" s="4">
        <f t="shared" si="70"/>
        <v>0</v>
      </c>
      <c r="E244" s="4">
        <f t="shared" si="70"/>
        <v>5.5073699999999999</v>
      </c>
      <c r="F244" s="4">
        <f t="shared" si="70"/>
        <v>0</v>
      </c>
      <c r="G244" s="4">
        <f t="shared" si="70"/>
        <v>5.5073699999999999</v>
      </c>
      <c r="H244" s="4">
        <f t="shared" si="70"/>
        <v>0</v>
      </c>
      <c r="I244" s="4">
        <f t="shared" si="70"/>
        <v>0</v>
      </c>
      <c r="J244" s="4">
        <f t="shared" si="70"/>
        <v>0</v>
      </c>
      <c r="K244" s="4">
        <f t="shared" si="70"/>
        <v>0</v>
      </c>
    </row>
    <row r="245" spans="1:11">
      <c r="A245" s="93" t="str">
        <f t="shared" si="70"/>
        <v>TBN (GSR IV)</v>
      </c>
      <c r="B245" s="4">
        <f t="shared" si="70"/>
        <v>0</v>
      </c>
      <c r="C245" s="4">
        <f t="shared" si="70"/>
        <v>5.5073699999999999</v>
      </c>
      <c r="D245" s="4">
        <f t="shared" si="70"/>
        <v>0</v>
      </c>
      <c r="E245" s="4">
        <f t="shared" si="70"/>
        <v>5.5073699999999999</v>
      </c>
      <c r="F245" s="4">
        <f t="shared" si="70"/>
        <v>0</v>
      </c>
      <c r="G245" s="4">
        <f t="shared" si="70"/>
        <v>5.5073699999999999</v>
      </c>
      <c r="H245" s="4">
        <f t="shared" si="70"/>
        <v>0</v>
      </c>
      <c r="I245" s="4">
        <f t="shared" si="70"/>
        <v>0</v>
      </c>
      <c r="J245" s="4">
        <f t="shared" si="70"/>
        <v>0</v>
      </c>
      <c r="K245" s="4">
        <f t="shared" si="70"/>
        <v>0</v>
      </c>
    </row>
    <row r="246" spans="1:11">
      <c r="A246" s="93">
        <f t="shared" si="70"/>
        <v>0</v>
      </c>
      <c r="B246" s="4">
        <f t="shared" si="70"/>
        <v>0</v>
      </c>
      <c r="C246" s="4">
        <f t="shared" si="70"/>
        <v>0</v>
      </c>
      <c r="D246" s="4">
        <f t="shared" si="70"/>
        <v>0</v>
      </c>
      <c r="E246" s="4">
        <f t="shared" si="70"/>
        <v>0</v>
      </c>
      <c r="F246" s="4">
        <f t="shared" si="70"/>
        <v>0</v>
      </c>
      <c r="G246" s="4">
        <f t="shared" si="70"/>
        <v>0</v>
      </c>
      <c r="H246" s="4">
        <f t="shared" si="70"/>
        <v>0</v>
      </c>
      <c r="I246" s="4">
        <f t="shared" si="70"/>
        <v>0</v>
      </c>
      <c r="J246" s="4">
        <f t="shared" si="70"/>
        <v>0</v>
      </c>
      <c r="K246" s="4">
        <f t="shared" si="70"/>
        <v>0</v>
      </c>
    </row>
    <row r="247" spans="1:11">
      <c r="A247" s="93">
        <f t="shared" si="70"/>
        <v>0</v>
      </c>
      <c r="B247" s="4">
        <f t="shared" si="70"/>
        <v>0</v>
      </c>
      <c r="C247" s="4">
        <f t="shared" si="70"/>
        <v>0</v>
      </c>
      <c r="D247" s="4">
        <f t="shared" si="70"/>
        <v>0</v>
      </c>
      <c r="E247" s="4">
        <f t="shared" si="70"/>
        <v>0</v>
      </c>
      <c r="F247" s="4">
        <f t="shared" si="70"/>
        <v>0</v>
      </c>
      <c r="G247" s="4">
        <f t="shared" si="70"/>
        <v>0</v>
      </c>
      <c r="H247" s="4">
        <f t="shared" si="70"/>
        <v>0</v>
      </c>
      <c r="I247" s="4">
        <f t="shared" si="70"/>
        <v>0</v>
      </c>
      <c r="J247" s="4">
        <f t="shared" si="70"/>
        <v>0</v>
      </c>
      <c r="K247" s="4">
        <f t="shared" si="70"/>
        <v>0</v>
      </c>
    </row>
    <row r="248" spans="1:11">
      <c r="A248" s="93">
        <f t="shared" si="70"/>
        <v>0</v>
      </c>
      <c r="B248" s="4">
        <f t="shared" si="70"/>
        <v>0</v>
      </c>
      <c r="C248" s="4">
        <f t="shared" si="70"/>
        <v>0</v>
      </c>
      <c r="D248" s="4">
        <f t="shared" si="70"/>
        <v>0</v>
      </c>
      <c r="E248" s="4">
        <f t="shared" si="70"/>
        <v>0</v>
      </c>
      <c r="F248" s="4">
        <f t="shared" si="70"/>
        <v>0</v>
      </c>
      <c r="G248" s="4">
        <f t="shared" si="70"/>
        <v>0</v>
      </c>
      <c r="H248" s="4">
        <f t="shared" si="70"/>
        <v>0</v>
      </c>
      <c r="I248" s="4">
        <f t="shared" si="70"/>
        <v>0</v>
      </c>
      <c r="J248" s="4">
        <f t="shared" si="70"/>
        <v>0</v>
      </c>
      <c r="K248" s="4">
        <f t="shared" si="70"/>
        <v>0</v>
      </c>
    </row>
    <row r="249" spans="1:11">
      <c r="A249" s="93">
        <f t="shared" si="70"/>
        <v>0</v>
      </c>
      <c r="B249" s="4">
        <f t="shared" si="70"/>
        <v>0</v>
      </c>
      <c r="C249" s="4">
        <f t="shared" si="70"/>
        <v>0</v>
      </c>
      <c r="D249" s="4">
        <f t="shared" si="70"/>
        <v>0</v>
      </c>
      <c r="E249" s="4">
        <f t="shared" si="70"/>
        <v>0</v>
      </c>
      <c r="F249" s="4">
        <f t="shared" si="70"/>
        <v>0</v>
      </c>
      <c r="G249" s="4">
        <f t="shared" si="70"/>
        <v>0</v>
      </c>
      <c r="H249" s="4">
        <f t="shared" si="70"/>
        <v>0</v>
      </c>
      <c r="I249" s="4">
        <f t="shared" si="70"/>
        <v>0</v>
      </c>
      <c r="J249" s="4">
        <f t="shared" si="70"/>
        <v>0</v>
      </c>
      <c r="K249" s="4">
        <f t="shared" si="70"/>
        <v>0</v>
      </c>
    </row>
    <row r="250" spans="1:11">
      <c r="A250" s="93">
        <f t="shared" si="70"/>
        <v>0</v>
      </c>
      <c r="B250" s="4">
        <f t="shared" si="70"/>
        <v>0</v>
      </c>
      <c r="C250" s="4">
        <f t="shared" si="70"/>
        <v>0</v>
      </c>
      <c r="D250" s="4">
        <f t="shared" si="70"/>
        <v>0</v>
      </c>
      <c r="E250" s="4">
        <f t="shared" si="70"/>
        <v>0</v>
      </c>
      <c r="F250" s="4">
        <f t="shared" si="70"/>
        <v>0</v>
      </c>
      <c r="G250" s="4">
        <f t="shared" si="70"/>
        <v>0</v>
      </c>
      <c r="H250" s="4">
        <f t="shared" si="70"/>
        <v>0</v>
      </c>
      <c r="I250" s="4">
        <f t="shared" si="70"/>
        <v>0</v>
      </c>
      <c r="J250" s="4">
        <f t="shared" si="70"/>
        <v>0</v>
      </c>
      <c r="K250" s="4">
        <f t="shared" si="70"/>
        <v>0</v>
      </c>
    </row>
    <row r="251" spans="1:11">
      <c r="A251" s="93">
        <f t="shared" si="70"/>
        <v>0</v>
      </c>
      <c r="B251" s="4">
        <f t="shared" si="70"/>
        <v>0</v>
      </c>
      <c r="C251" s="4">
        <f t="shared" si="70"/>
        <v>0</v>
      </c>
      <c r="D251" s="4">
        <f t="shared" si="70"/>
        <v>0</v>
      </c>
      <c r="E251" s="4">
        <f t="shared" si="70"/>
        <v>0</v>
      </c>
      <c r="F251" s="4">
        <f t="shared" si="70"/>
        <v>0</v>
      </c>
      <c r="G251" s="4">
        <f t="shared" si="70"/>
        <v>0</v>
      </c>
      <c r="H251" s="4">
        <f t="shared" si="70"/>
        <v>0</v>
      </c>
      <c r="I251" s="4">
        <f t="shared" si="70"/>
        <v>0</v>
      </c>
      <c r="J251" s="4">
        <f t="shared" si="70"/>
        <v>0</v>
      </c>
      <c r="K251" s="4">
        <f t="shared" si="70"/>
        <v>0</v>
      </c>
    </row>
    <row r="252" spans="1:11">
      <c r="A252" s="93">
        <f t="shared" si="70"/>
        <v>0</v>
      </c>
      <c r="B252" s="4">
        <f t="shared" si="70"/>
        <v>0</v>
      </c>
      <c r="C252" s="4">
        <f t="shared" si="70"/>
        <v>0</v>
      </c>
      <c r="D252" s="4">
        <f t="shared" si="70"/>
        <v>0</v>
      </c>
      <c r="E252" s="4">
        <f t="shared" si="70"/>
        <v>0</v>
      </c>
      <c r="F252" s="4">
        <f t="shared" si="70"/>
        <v>0</v>
      </c>
      <c r="G252" s="4">
        <f t="shared" si="70"/>
        <v>0</v>
      </c>
      <c r="H252" s="4">
        <f t="shared" si="70"/>
        <v>0</v>
      </c>
      <c r="I252" s="4">
        <f t="shared" si="70"/>
        <v>0</v>
      </c>
      <c r="J252" s="4">
        <f t="shared" si="70"/>
        <v>0</v>
      </c>
      <c r="K252" s="4">
        <f t="shared" si="70"/>
        <v>0</v>
      </c>
    </row>
    <row r="253" spans="1:11">
      <c r="A253" s="93">
        <f t="shared" si="70"/>
        <v>0</v>
      </c>
      <c r="B253" s="4">
        <f t="shared" si="70"/>
        <v>0</v>
      </c>
      <c r="C253" s="4">
        <f t="shared" si="70"/>
        <v>0</v>
      </c>
      <c r="D253" s="4">
        <f t="shared" si="70"/>
        <v>0</v>
      </c>
      <c r="E253" s="4">
        <f t="shared" si="70"/>
        <v>0</v>
      </c>
      <c r="F253" s="4">
        <f t="shared" si="70"/>
        <v>0</v>
      </c>
      <c r="G253" s="4">
        <f t="shared" si="70"/>
        <v>0</v>
      </c>
      <c r="H253" s="4">
        <f t="shared" si="70"/>
        <v>0</v>
      </c>
      <c r="I253" s="4">
        <f t="shared" si="70"/>
        <v>0</v>
      </c>
      <c r="J253" s="4">
        <f t="shared" si="70"/>
        <v>0</v>
      </c>
      <c r="K253" s="4">
        <f t="shared" si="70"/>
        <v>0</v>
      </c>
    </row>
    <row r="254" spans="1:11">
      <c r="A254" s="93">
        <f t="shared" si="70"/>
        <v>0</v>
      </c>
      <c r="B254" s="4">
        <f t="shared" si="70"/>
        <v>0</v>
      </c>
      <c r="C254" s="4">
        <f t="shared" si="70"/>
        <v>0</v>
      </c>
      <c r="D254" s="4">
        <f t="shared" si="70"/>
        <v>0</v>
      </c>
      <c r="E254" s="4">
        <f t="shared" si="70"/>
        <v>0</v>
      </c>
      <c r="F254" s="4">
        <f t="shared" si="70"/>
        <v>0</v>
      </c>
      <c r="G254" s="4">
        <f t="shared" si="70"/>
        <v>0</v>
      </c>
      <c r="H254" s="4">
        <f t="shared" si="70"/>
        <v>0</v>
      </c>
      <c r="I254" s="4">
        <f t="shared" si="70"/>
        <v>0</v>
      </c>
      <c r="J254" s="4">
        <f t="shared" si="70"/>
        <v>0</v>
      </c>
      <c r="K254" s="4">
        <f t="shared" si="70"/>
        <v>0</v>
      </c>
    </row>
    <row r="255" spans="1:11">
      <c r="A255" s="93">
        <f t="shared" si="70"/>
        <v>0</v>
      </c>
      <c r="B255" s="4">
        <f t="shared" si="70"/>
        <v>0</v>
      </c>
      <c r="C255" s="4">
        <f t="shared" si="70"/>
        <v>0</v>
      </c>
      <c r="D255" s="4">
        <f t="shared" si="70"/>
        <v>0</v>
      </c>
      <c r="E255" s="4">
        <f t="shared" si="70"/>
        <v>0</v>
      </c>
      <c r="F255" s="4">
        <f t="shared" si="70"/>
        <v>0</v>
      </c>
      <c r="G255" s="4">
        <f t="shared" si="70"/>
        <v>0</v>
      </c>
      <c r="H255" s="4">
        <f t="shared" si="70"/>
        <v>0</v>
      </c>
      <c r="I255" s="4">
        <f t="shared" si="70"/>
        <v>0</v>
      </c>
      <c r="J255" s="4">
        <f t="shared" si="70"/>
        <v>0</v>
      </c>
      <c r="K255" s="4">
        <f t="shared" si="70"/>
        <v>0</v>
      </c>
    </row>
    <row r="256" spans="1:11">
      <c r="A256" s="93">
        <f t="shared" si="70"/>
        <v>0</v>
      </c>
      <c r="B256" s="4">
        <f t="shared" si="70"/>
        <v>0</v>
      </c>
      <c r="C256" s="4">
        <f t="shared" si="70"/>
        <v>0</v>
      </c>
      <c r="D256" s="4">
        <f t="shared" si="70"/>
        <v>0</v>
      </c>
      <c r="E256" s="4">
        <f t="shared" si="70"/>
        <v>0</v>
      </c>
      <c r="F256" s="4">
        <f t="shared" si="70"/>
        <v>0</v>
      </c>
      <c r="G256" s="4">
        <f t="shared" si="70"/>
        <v>0</v>
      </c>
      <c r="H256" s="4">
        <f t="shared" si="70"/>
        <v>0</v>
      </c>
      <c r="I256" s="4">
        <f t="shared" si="70"/>
        <v>0</v>
      </c>
      <c r="J256" s="4">
        <f t="shared" si="70"/>
        <v>0</v>
      </c>
      <c r="K256" s="4">
        <f t="shared" si="70"/>
        <v>0</v>
      </c>
    </row>
    <row r="257" spans="1:11">
      <c r="A257" s="93">
        <f t="shared" si="70"/>
        <v>0</v>
      </c>
      <c r="B257" s="4">
        <f t="shared" si="70"/>
        <v>0</v>
      </c>
      <c r="C257" s="4">
        <f t="shared" si="70"/>
        <v>0</v>
      </c>
      <c r="D257" s="4">
        <f t="shared" si="70"/>
        <v>0</v>
      </c>
      <c r="E257" s="4">
        <f t="shared" si="70"/>
        <v>0</v>
      </c>
      <c r="F257" s="4">
        <f t="shared" si="70"/>
        <v>0</v>
      </c>
      <c r="G257" s="4">
        <f t="shared" si="70"/>
        <v>0</v>
      </c>
      <c r="H257" s="4">
        <f t="shared" si="70"/>
        <v>0</v>
      </c>
      <c r="I257" s="4">
        <f t="shared" si="70"/>
        <v>0</v>
      </c>
      <c r="J257" s="4">
        <f t="shared" si="70"/>
        <v>0</v>
      </c>
      <c r="K257" s="4">
        <f t="shared" si="70"/>
        <v>0</v>
      </c>
    </row>
    <row r="258" spans="1:11">
      <c r="A258" s="93">
        <f t="shared" si="70"/>
        <v>0</v>
      </c>
      <c r="B258" s="4">
        <f t="shared" si="70"/>
        <v>0</v>
      </c>
      <c r="C258" s="4">
        <f t="shared" si="70"/>
        <v>0</v>
      </c>
      <c r="D258" s="4">
        <f t="shared" si="70"/>
        <v>0</v>
      </c>
      <c r="E258" s="4">
        <f t="shared" si="70"/>
        <v>0</v>
      </c>
      <c r="F258" s="4">
        <f t="shared" si="70"/>
        <v>0</v>
      </c>
      <c r="G258" s="4">
        <f t="shared" si="70"/>
        <v>0</v>
      </c>
      <c r="H258" s="4">
        <f t="shared" si="70"/>
        <v>0</v>
      </c>
      <c r="I258" s="4">
        <f t="shared" si="70"/>
        <v>0</v>
      </c>
      <c r="J258" s="4">
        <f t="shared" si="70"/>
        <v>0</v>
      </c>
      <c r="K258" s="4">
        <f t="shared" si="70"/>
        <v>0</v>
      </c>
    </row>
    <row r="259" spans="1:11">
      <c r="A259" s="93">
        <f t="shared" si="70"/>
        <v>0</v>
      </c>
      <c r="B259" s="4">
        <f t="shared" si="70"/>
        <v>0</v>
      </c>
      <c r="C259" s="4">
        <f t="shared" si="70"/>
        <v>0</v>
      </c>
      <c r="D259" s="4">
        <f t="shared" si="70"/>
        <v>0</v>
      </c>
      <c r="E259" s="4">
        <f t="shared" si="70"/>
        <v>0</v>
      </c>
      <c r="F259" s="4">
        <f t="shared" si="70"/>
        <v>0</v>
      </c>
      <c r="G259" s="4">
        <f t="shared" si="70"/>
        <v>0</v>
      </c>
      <c r="H259" s="4">
        <f t="shared" si="70"/>
        <v>0</v>
      </c>
      <c r="I259" s="4">
        <f t="shared" si="70"/>
        <v>0</v>
      </c>
      <c r="J259" s="4">
        <f t="shared" si="70"/>
        <v>0</v>
      </c>
      <c r="K259" s="4">
        <f t="shared" si="70"/>
        <v>0</v>
      </c>
    </row>
    <row r="260" spans="1:11">
      <c r="A260" s="93">
        <f t="shared" si="70"/>
        <v>0</v>
      </c>
      <c r="B260" s="4">
        <f t="shared" si="70"/>
        <v>0</v>
      </c>
      <c r="C260" s="4">
        <f t="shared" si="70"/>
        <v>0</v>
      </c>
      <c r="D260" s="4">
        <f t="shared" si="70"/>
        <v>0</v>
      </c>
      <c r="E260" s="4">
        <f t="shared" si="70"/>
        <v>0</v>
      </c>
      <c r="F260" s="4">
        <f t="shared" si="70"/>
        <v>0</v>
      </c>
      <c r="G260" s="4">
        <f t="shared" si="70"/>
        <v>0</v>
      </c>
      <c r="H260" s="4">
        <f t="shared" si="70"/>
        <v>0</v>
      </c>
      <c r="I260" s="4">
        <f t="shared" si="70"/>
        <v>0</v>
      </c>
      <c r="J260" s="4">
        <f t="shared" si="70"/>
        <v>0</v>
      </c>
      <c r="K260" s="4">
        <f t="shared" si="70"/>
        <v>0</v>
      </c>
    </row>
    <row r="261" spans="1:11">
      <c r="A261" s="93">
        <f t="shared" si="70"/>
        <v>0</v>
      </c>
      <c r="B261" s="4">
        <f t="shared" si="70"/>
        <v>0</v>
      </c>
      <c r="C261" s="4">
        <f t="shared" si="70"/>
        <v>0</v>
      </c>
      <c r="D261" s="4">
        <f t="shared" si="70"/>
        <v>0</v>
      </c>
      <c r="E261" s="4">
        <f t="shared" si="70"/>
        <v>0</v>
      </c>
      <c r="F261" s="4">
        <f t="shared" si="70"/>
        <v>0</v>
      </c>
      <c r="G261" s="4">
        <f t="shared" si="70"/>
        <v>0</v>
      </c>
      <c r="H261" s="4">
        <f t="shared" si="70"/>
        <v>0</v>
      </c>
      <c r="I261" s="4">
        <f t="shared" si="70"/>
        <v>0</v>
      </c>
      <c r="J261" s="4">
        <f t="shared" si="70"/>
        <v>0</v>
      </c>
      <c r="K261" s="4">
        <f t="shared" si="70"/>
        <v>0</v>
      </c>
    </row>
    <row r="262" spans="1:11">
      <c r="A262" s="93">
        <f t="shared" si="70"/>
        <v>0</v>
      </c>
      <c r="B262" s="4">
        <f t="shared" si="70"/>
        <v>0</v>
      </c>
      <c r="C262" s="4">
        <f t="shared" si="70"/>
        <v>0</v>
      </c>
      <c r="D262" s="4">
        <f t="shared" si="70"/>
        <v>0</v>
      </c>
      <c r="E262" s="4">
        <f t="shared" si="70"/>
        <v>0</v>
      </c>
      <c r="F262" s="4">
        <f t="shared" si="70"/>
        <v>0</v>
      </c>
      <c r="G262" s="4">
        <f t="shared" si="70"/>
        <v>0</v>
      </c>
      <c r="H262" s="4">
        <f t="shared" si="70"/>
        <v>0</v>
      </c>
      <c r="I262" s="4">
        <f t="shared" si="70"/>
        <v>0</v>
      </c>
      <c r="J262" s="4">
        <f t="shared" si="70"/>
        <v>0</v>
      </c>
      <c r="K262" s="4">
        <f t="shared" si="70"/>
        <v>0</v>
      </c>
    </row>
    <row r="263" spans="1:11">
      <c r="A263" s="93">
        <f t="shared" si="70"/>
        <v>0</v>
      </c>
      <c r="B263" s="4">
        <f t="shared" si="70"/>
        <v>0</v>
      </c>
      <c r="C263" s="4">
        <f t="shared" si="70"/>
        <v>0</v>
      </c>
      <c r="D263" s="4">
        <f t="shared" si="70"/>
        <v>0</v>
      </c>
      <c r="E263" s="4">
        <f t="shared" si="70"/>
        <v>0</v>
      </c>
      <c r="F263" s="4">
        <f t="shared" si="70"/>
        <v>0</v>
      </c>
      <c r="G263" s="4">
        <f t="shared" si="70"/>
        <v>0</v>
      </c>
      <c r="H263" s="4">
        <f t="shared" si="70"/>
        <v>0</v>
      </c>
      <c r="I263" s="4">
        <f t="shared" si="70"/>
        <v>0</v>
      </c>
      <c r="J263" s="4">
        <f t="shared" si="70"/>
        <v>0</v>
      </c>
      <c r="K263" s="4">
        <f t="shared" ref="K263" si="71">K233</f>
        <v>0</v>
      </c>
    </row>
    <row r="264" spans="1:11">
      <c r="A264" s="93">
        <f t="shared" si="70"/>
        <v>0</v>
      </c>
      <c r="B264" s="4">
        <f t="shared" ref="B264:K264" si="72">B234</f>
        <v>0</v>
      </c>
      <c r="C264" s="4">
        <f t="shared" si="72"/>
        <v>0</v>
      </c>
      <c r="D264" s="4">
        <f t="shared" si="72"/>
        <v>0</v>
      </c>
      <c r="E264" s="4">
        <f t="shared" si="72"/>
        <v>0</v>
      </c>
      <c r="F264" s="4">
        <f t="shared" si="72"/>
        <v>0</v>
      </c>
      <c r="G264" s="4">
        <f t="shared" si="72"/>
        <v>0</v>
      </c>
      <c r="H264" s="4">
        <f t="shared" si="72"/>
        <v>0</v>
      </c>
      <c r="I264" s="4">
        <f t="shared" si="72"/>
        <v>0</v>
      </c>
      <c r="J264" s="4">
        <f t="shared" si="72"/>
        <v>0</v>
      </c>
      <c r="K264" s="4">
        <f t="shared" si="72"/>
        <v>0</v>
      </c>
    </row>
    <row r="265" spans="1:11">
      <c r="A265" s="97">
        <f t="shared" si="70"/>
        <v>0</v>
      </c>
      <c r="B265" s="4">
        <f t="shared" ref="B265:K265" si="73">B235</f>
        <v>0</v>
      </c>
      <c r="C265" s="4">
        <f t="shared" si="73"/>
        <v>0</v>
      </c>
      <c r="D265" s="4">
        <f t="shared" si="73"/>
        <v>0</v>
      </c>
      <c r="E265" s="4">
        <f t="shared" si="73"/>
        <v>0</v>
      </c>
      <c r="F265" s="4">
        <f t="shared" si="73"/>
        <v>0</v>
      </c>
      <c r="G265" s="4">
        <f t="shared" si="73"/>
        <v>0</v>
      </c>
      <c r="H265" s="4">
        <f t="shared" si="73"/>
        <v>0</v>
      </c>
      <c r="I265" s="4">
        <f t="shared" si="73"/>
        <v>0</v>
      </c>
      <c r="J265" s="4">
        <f t="shared" si="73"/>
        <v>0</v>
      </c>
      <c r="K265" s="4">
        <f t="shared" si="73"/>
        <v>0</v>
      </c>
    </row>
    <row r="266" spans="1:11">
      <c r="A266" s="100"/>
      <c r="B266" s="23"/>
      <c r="C266" s="22"/>
      <c r="D266" s="23"/>
      <c r="E266" s="22"/>
      <c r="F266" s="23"/>
      <c r="G266" s="22"/>
      <c r="H266" s="23"/>
      <c r="I266" s="22"/>
      <c r="J266" s="23"/>
      <c r="K266" s="22"/>
    </row>
    <row r="268" spans="1:11">
      <c r="A268" s="99" t="s">
        <v>151</v>
      </c>
      <c r="B268" s="224"/>
      <c r="C268" s="224"/>
      <c r="D268" s="224"/>
      <c r="E268" s="224"/>
      <c r="F268" s="224"/>
      <c r="G268" s="224"/>
      <c r="H268" s="224"/>
      <c r="I268" s="224"/>
      <c r="J268" s="224"/>
      <c r="K268" s="224"/>
    </row>
    <row r="269" spans="1:11">
      <c r="A269" s="101" t="str">
        <f>A242</f>
        <v>R. Grotjahn (PI)</v>
      </c>
      <c r="B269" s="225">
        <f>IF(B$241=C$241,B$241*100,IF(C242=0,B$241*100,IF(B242=0,C$241*100,B$241*100&amp;"/"&amp;C$241*100)))</f>
        <v>17</v>
      </c>
      <c r="C269" s="226"/>
      <c r="D269" s="225">
        <f>IF(D$241=E$241,D$241*100,IF(E242=0,D$241*100,IF(D242=0,E$241*100,D$241*100&amp;"/"&amp;E$241*100)))</f>
        <v>18</v>
      </c>
      <c r="E269" s="226"/>
      <c r="F269" s="225">
        <f>IF(F$241=G$241,F$241*100,IF(G242=0,F$241*100,IF(F242=0,G$241*100,F$241*100&amp;"/"&amp;G$241*100)))</f>
        <v>18.5</v>
      </c>
      <c r="G269" s="226"/>
      <c r="H269" s="225">
        <f>IF(H$241=I$241,H$241*100,IF(I242=0,H$241*100,IF(H242=0,I$241*100,H$241*100&amp;"/"&amp;I$241*100)))</f>
        <v>0</v>
      </c>
      <c r="I269" s="226"/>
      <c r="J269" s="227">
        <f>IF(J$241=K$241,J$241*100,IF(K242=0,J$241*100,IF(J242=0,K$241*100,J$241*100&amp;"/"&amp;K$241*100)))</f>
        <v>0</v>
      </c>
      <c r="K269" s="228"/>
    </row>
    <row r="270" spans="1:11">
      <c r="A270" s="101" t="str">
        <f t="shared" ref="A270:A292" si="74">A243</f>
        <v>P. Ullrich (co-PI)</v>
      </c>
      <c r="B270" s="225" t="str">
        <f t="shared" ref="B270:B292" si="75">IF(B$241=C$241,B$241*100,IF(C243=0,B$241*100,IF(B243=0,C$241*100,B$241*100&amp;"/"&amp;C$241*100)))</f>
        <v>17/18</v>
      </c>
      <c r="C270" s="226"/>
      <c r="D270" s="225" t="str">
        <f t="shared" ref="D270:D292" si="76">IF(D$241=E$241,D$241*100,IF(E243=0,D$241*100,IF(D243=0,E$241*100,D$241*100&amp;"/"&amp;E$241*100)))</f>
        <v>18/18.5</v>
      </c>
      <c r="E270" s="226"/>
      <c r="F270" s="225" t="str">
        <f t="shared" ref="F270:F292" si="77">IF(F$241=G$241,F$241*100,IF(G243=0,F$241*100,IF(F243=0,G$241*100,F$241*100&amp;"/"&amp;G$241*100)))</f>
        <v>18.5/19.1</v>
      </c>
      <c r="G270" s="226"/>
      <c r="H270" s="225">
        <f t="shared" ref="H270:H292" si="78">IF(H$241=I$241,H$241*100,IF(I243=0,H$241*100,IF(H243=0,I$241*100,H$241*100&amp;"/"&amp;I$241*100)))</f>
        <v>0</v>
      </c>
      <c r="I270" s="226"/>
      <c r="J270" s="227">
        <f t="shared" ref="J270:J292" si="79">IF(J$241=K$241,J$241*100,IF(K243=0,J$241*100,IF(J243=0,K$241*100,J$241*100&amp;"/"&amp;K$241*100)))</f>
        <v>0</v>
      </c>
      <c r="K270" s="228"/>
    </row>
    <row r="271" spans="1:11">
      <c r="A271" s="101" t="str">
        <f t="shared" si="74"/>
        <v>TBN (GSR IV)</v>
      </c>
      <c r="B271" s="225">
        <f t="shared" si="75"/>
        <v>18</v>
      </c>
      <c r="C271" s="226"/>
      <c r="D271" s="225">
        <f t="shared" si="76"/>
        <v>18.5</v>
      </c>
      <c r="E271" s="226"/>
      <c r="F271" s="225">
        <f t="shared" si="77"/>
        <v>19.100000000000001</v>
      </c>
      <c r="G271" s="226"/>
      <c r="H271" s="225">
        <f t="shared" si="78"/>
        <v>0</v>
      </c>
      <c r="I271" s="226"/>
      <c r="J271" s="227">
        <f t="shared" si="79"/>
        <v>0</v>
      </c>
      <c r="K271" s="228"/>
    </row>
    <row r="272" spans="1:11">
      <c r="A272" s="101" t="str">
        <f t="shared" si="74"/>
        <v>TBN (GSR IV)</v>
      </c>
      <c r="B272" s="225">
        <f t="shared" si="75"/>
        <v>18</v>
      </c>
      <c r="C272" s="226"/>
      <c r="D272" s="225">
        <f t="shared" si="76"/>
        <v>18.5</v>
      </c>
      <c r="E272" s="226"/>
      <c r="F272" s="225">
        <f t="shared" si="77"/>
        <v>19.100000000000001</v>
      </c>
      <c r="G272" s="226"/>
      <c r="H272" s="225">
        <f t="shared" si="78"/>
        <v>0</v>
      </c>
      <c r="I272" s="226"/>
      <c r="J272" s="227">
        <f t="shared" si="79"/>
        <v>0</v>
      </c>
      <c r="K272" s="228"/>
    </row>
    <row r="273" spans="1:11">
      <c r="A273" s="101">
        <f t="shared" si="74"/>
        <v>0</v>
      </c>
      <c r="B273" s="225">
        <f t="shared" si="75"/>
        <v>17</v>
      </c>
      <c r="C273" s="226"/>
      <c r="D273" s="225">
        <f t="shared" si="76"/>
        <v>18</v>
      </c>
      <c r="E273" s="226"/>
      <c r="F273" s="225">
        <f t="shared" si="77"/>
        <v>18.5</v>
      </c>
      <c r="G273" s="226"/>
      <c r="H273" s="225">
        <f t="shared" si="78"/>
        <v>0</v>
      </c>
      <c r="I273" s="226"/>
      <c r="J273" s="227">
        <f t="shared" si="79"/>
        <v>0</v>
      </c>
      <c r="K273" s="228"/>
    </row>
    <row r="274" spans="1:11">
      <c r="A274" s="101">
        <f t="shared" si="74"/>
        <v>0</v>
      </c>
      <c r="B274" s="225">
        <f t="shared" si="75"/>
        <v>17</v>
      </c>
      <c r="C274" s="226"/>
      <c r="D274" s="225">
        <f t="shared" si="76"/>
        <v>18</v>
      </c>
      <c r="E274" s="226"/>
      <c r="F274" s="225">
        <f t="shared" si="77"/>
        <v>18.5</v>
      </c>
      <c r="G274" s="226"/>
      <c r="H274" s="225">
        <f t="shared" si="78"/>
        <v>0</v>
      </c>
      <c r="I274" s="226"/>
      <c r="J274" s="227">
        <f t="shared" si="79"/>
        <v>0</v>
      </c>
      <c r="K274" s="228"/>
    </row>
    <row r="275" spans="1:11">
      <c r="A275" s="101">
        <f t="shared" si="74"/>
        <v>0</v>
      </c>
      <c r="B275" s="225">
        <f t="shared" si="75"/>
        <v>17</v>
      </c>
      <c r="C275" s="226"/>
      <c r="D275" s="225">
        <f t="shared" si="76"/>
        <v>18</v>
      </c>
      <c r="E275" s="226"/>
      <c r="F275" s="225">
        <f t="shared" si="77"/>
        <v>18.5</v>
      </c>
      <c r="G275" s="226"/>
      <c r="H275" s="225">
        <f t="shared" si="78"/>
        <v>0</v>
      </c>
      <c r="I275" s="226"/>
      <c r="J275" s="227">
        <f t="shared" si="79"/>
        <v>0</v>
      </c>
      <c r="K275" s="228"/>
    </row>
    <row r="276" spans="1:11">
      <c r="A276" s="101">
        <f t="shared" si="74"/>
        <v>0</v>
      </c>
      <c r="B276" s="225">
        <f t="shared" si="75"/>
        <v>17</v>
      </c>
      <c r="C276" s="226"/>
      <c r="D276" s="225">
        <f t="shared" si="76"/>
        <v>18</v>
      </c>
      <c r="E276" s="226"/>
      <c r="F276" s="225">
        <f t="shared" si="77"/>
        <v>18.5</v>
      </c>
      <c r="G276" s="226"/>
      <c r="H276" s="225">
        <f t="shared" si="78"/>
        <v>0</v>
      </c>
      <c r="I276" s="226"/>
      <c r="J276" s="227">
        <f t="shared" si="79"/>
        <v>0</v>
      </c>
      <c r="K276" s="228"/>
    </row>
    <row r="277" spans="1:11">
      <c r="A277" s="101">
        <f t="shared" si="74"/>
        <v>0</v>
      </c>
      <c r="B277" s="225">
        <f t="shared" si="75"/>
        <v>17</v>
      </c>
      <c r="C277" s="226"/>
      <c r="D277" s="225">
        <f t="shared" si="76"/>
        <v>18</v>
      </c>
      <c r="E277" s="226"/>
      <c r="F277" s="225">
        <f t="shared" si="77"/>
        <v>18.5</v>
      </c>
      <c r="G277" s="226"/>
      <c r="H277" s="225">
        <f t="shared" si="78"/>
        <v>0</v>
      </c>
      <c r="I277" s="226"/>
      <c r="J277" s="227">
        <f t="shared" si="79"/>
        <v>0</v>
      </c>
      <c r="K277" s="228"/>
    </row>
    <row r="278" spans="1:11">
      <c r="A278" s="101">
        <f t="shared" si="74"/>
        <v>0</v>
      </c>
      <c r="B278" s="225">
        <f t="shared" si="75"/>
        <v>17</v>
      </c>
      <c r="C278" s="226"/>
      <c r="D278" s="225">
        <f t="shared" si="76"/>
        <v>18</v>
      </c>
      <c r="E278" s="226"/>
      <c r="F278" s="225">
        <f t="shared" si="77"/>
        <v>18.5</v>
      </c>
      <c r="G278" s="226"/>
      <c r="H278" s="225">
        <f t="shared" si="78"/>
        <v>0</v>
      </c>
      <c r="I278" s="226"/>
      <c r="J278" s="227">
        <f t="shared" si="79"/>
        <v>0</v>
      </c>
      <c r="K278" s="228"/>
    </row>
    <row r="279" spans="1:11">
      <c r="A279" s="101">
        <f t="shared" si="74"/>
        <v>0</v>
      </c>
      <c r="B279" s="225">
        <f t="shared" si="75"/>
        <v>17</v>
      </c>
      <c r="C279" s="226"/>
      <c r="D279" s="225">
        <f t="shared" si="76"/>
        <v>18</v>
      </c>
      <c r="E279" s="226"/>
      <c r="F279" s="225">
        <f t="shared" si="77"/>
        <v>18.5</v>
      </c>
      <c r="G279" s="226"/>
      <c r="H279" s="225">
        <f t="shared" si="78"/>
        <v>0</v>
      </c>
      <c r="I279" s="226"/>
      <c r="J279" s="227">
        <f t="shared" si="79"/>
        <v>0</v>
      </c>
      <c r="K279" s="228"/>
    </row>
    <row r="280" spans="1:11">
      <c r="A280" s="101">
        <f t="shared" si="74"/>
        <v>0</v>
      </c>
      <c r="B280" s="225">
        <f t="shared" si="75"/>
        <v>17</v>
      </c>
      <c r="C280" s="226"/>
      <c r="D280" s="225">
        <f t="shared" si="76"/>
        <v>18</v>
      </c>
      <c r="E280" s="226"/>
      <c r="F280" s="225">
        <f t="shared" si="77"/>
        <v>18.5</v>
      </c>
      <c r="G280" s="226"/>
      <c r="H280" s="225">
        <f t="shared" si="78"/>
        <v>0</v>
      </c>
      <c r="I280" s="226"/>
      <c r="J280" s="227">
        <f t="shared" si="79"/>
        <v>0</v>
      </c>
      <c r="K280" s="228"/>
    </row>
    <row r="281" spans="1:11">
      <c r="A281" s="101">
        <f t="shared" si="74"/>
        <v>0</v>
      </c>
      <c r="B281" s="225">
        <f t="shared" si="75"/>
        <v>17</v>
      </c>
      <c r="C281" s="226"/>
      <c r="D281" s="225">
        <f t="shared" si="76"/>
        <v>18</v>
      </c>
      <c r="E281" s="226"/>
      <c r="F281" s="225">
        <f t="shared" si="77"/>
        <v>18.5</v>
      </c>
      <c r="G281" s="226"/>
      <c r="H281" s="225">
        <f t="shared" si="78"/>
        <v>0</v>
      </c>
      <c r="I281" s="226"/>
      <c r="J281" s="227">
        <f t="shared" si="79"/>
        <v>0</v>
      </c>
      <c r="K281" s="228"/>
    </row>
    <row r="282" spans="1:11">
      <c r="A282" s="101">
        <f t="shared" si="74"/>
        <v>0</v>
      </c>
      <c r="B282" s="225">
        <f t="shared" si="75"/>
        <v>17</v>
      </c>
      <c r="C282" s="226"/>
      <c r="D282" s="225">
        <f t="shared" si="76"/>
        <v>18</v>
      </c>
      <c r="E282" s="226"/>
      <c r="F282" s="225">
        <f t="shared" si="77"/>
        <v>18.5</v>
      </c>
      <c r="G282" s="226"/>
      <c r="H282" s="225">
        <f t="shared" si="78"/>
        <v>0</v>
      </c>
      <c r="I282" s="226"/>
      <c r="J282" s="227">
        <f t="shared" si="79"/>
        <v>0</v>
      </c>
      <c r="K282" s="228"/>
    </row>
    <row r="283" spans="1:11">
      <c r="A283" s="101">
        <f t="shared" si="74"/>
        <v>0</v>
      </c>
      <c r="B283" s="225">
        <f t="shared" si="75"/>
        <v>17</v>
      </c>
      <c r="C283" s="226"/>
      <c r="D283" s="225">
        <f t="shared" si="76"/>
        <v>18</v>
      </c>
      <c r="E283" s="226"/>
      <c r="F283" s="225">
        <f t="shared" si="77"/>
        <v>18.5</v>
      </c>
      <c r="G283" s="226"/>
      <c r="H283" s="225">
        <f t="shared" si="78"/>
        <v>0</v>
      </c>
      <c r="I283" s="226"/>
      <c r="J283" s="227">
        <f t="shared" si="79"/>
        <v>0</v>
      </c>
      <c r="K283" s="228"/>
    </row>
    <row r="284" spans="1:11">
      <c r="A284" s="101">
        <f t="shared" si="74"/>
        <v>0</v>
      </c>
      <c r="B284" s="225">
        <f t="shared" si="75"/>
        <v>17</v>
      </c>
      <c r="C284" s="226"/>
      <c r="D284" s="225">
        <f t="shared" si="76"/>
        <v>18</v>
      </c>
      <c r="E284" s="226"/>
      <c r="F284" s="225">
        <f t="shared" si="77"/>
        <v>18.5</v>
      </c>
      <c r="G284" s="226"/>
      <c r="H284" s="225">
        <f t="shared" si="78"/>
        <v>0</v>
      </c>
      <c r="I284" s="226"/>
      <c r="J284" s="227">
        <f t="shared" si="79"/>
        <v>0</v>
      </c>
      <c r="K284" s="228"/>
    </row>
    <row r="285" spans="1:11">
      <c r="A285" s="101">
        <f t="shared" si="74"/>
        <v>0</v>
      </c>
      <c r="B285" s="225">
        <f t="shared" si="75"/>
        <v>17</v>
      </c>
      <c r="C285" s="226"/>
      <c r="D285" s="225">
        <f t="shared" si="76"/>
        <v>18</v>
      </c>
      <c r="E285" s="226"/>
      <c r="F285" s="225">
        <f t="shared" si="77"/>
        <v>18.5</v>
      </c>
      <c r="G285" s="226"/>
      <c r="H285" s="225">
        <f t="shared" si="78"/>
        <v>0</v>
      </c>
      <c r="I285" s="226"/>
      <c r="J285" s="227">
        <f t="shared" si="79"/>
        <v>0</v>
      </c>
      <c r="K285" s="228"/>
    </row>
    <row r="286" spans="1:11">
      <c r="A286" s="101">
        <f t="shared" si="74"/>
        <v>0</v>
      </c>
      <c r="B286" s="225">
        <f t="shared" si="75"/>
        <v>17</v>
      </c>
      <c r="C286" s="226"/>
      <c r="D286" s="225">
        <f t="shared" si="76"/>
        <v>18</v>
      </c>
      <c r="E286" s="226"/>
      <c r="F286" s="225">
        <f t="shared" si="77"/>
        <v>18.5</v>
      </c>
      <c r="G286" s="226"/>
      <c r="H286" s="225">
        <f t="shared" si="78"/>
        <v>0</v>
      </c>
      <c r="I286" s="226"/>
      <c r="J286" s="227">
        <f t="shared" si="79"/>
        <v>0</v>
      </c>
      <c r="K286" s="228"/>
    </row>
    <row r="287" spans="1:11">
      <c r="A287" s="101">
        <f t="shared" si="74"/>
        <v>0</v>
      </c>
      <c r="B287" s="225">
        <f t="shared" si="75"/>
        <v>17</v>
      </c>
      <c r="C287" s="226"/>
      <c r="D287" s="225">
        <f t="shared" si="76"/>
        <v>18</v>
      </c>
      <c r="E287" s="226"/>
      <c r="F287" s="225">
        <f t="shared" si="77"/>
        <v>18.5</v>
      </c>
      <c r="G287" s="226"/>
      <c r="H287" s="225">
        <f t="shared" si="78"/>
        <v>0</v>
      </c>
      <c r="I287" s="226"/>
      <c r="J287" s="227">
        <f t="shared" si="79"/>
        <v>0</v>
      </c>
      <c r="K287" s="228"/>
    </row>
    <row r="288" spans="1:11">
      <c r="A288" s="101">
        <f t="shared" si="74"/>
        <v>0</v>
      </c>
      <c r="B288" s="225">
        <f t="shared" si="75"/>
        <v>17</v>
      </c>
      <c r="C288" s="226"/>
      <c r="D288" s="225">
        <f t="shared" si="76"/>
        <v>18</v>
      </c>
      <c r="E288" s="226"/>
      <c r="F288" s="225">
        <f t="shared" si="77"/>
        <v>18.5</v>
      </c>
      <c r="G288" s="226"/>
      <c r="H288" s="225">
        <f t="shared" si="78"/>
        <v>0</v>
      </c>
      <c r="I288" s="226"/>
      <c r="J288" s="227">
        <f t="shared" si="79"/>
        <v>0</v>
      </c>
      <c r="K288" s="228"/>
    </row>
    <row r="289" spans="1:12">
      <c r="A289" s="101">
        <f t="shared" si="74"/>
        <v>0</v>
      </c>
      <c r="B289" s="225">
        <f t="shared" si="75"/>
        <v>17</v>
      </c>
      <c r="C289" s="226"/>
      <c r="D289" s="225">
        <f t="shared" si="76"/>
        <v>18</v>
      </c>
      <c r="E289" s="226"/>
      <c r="F289" s="225">
        <f t="shared" si="77"/>
        <v>18.5</v>
      </c>
      <c r="G289" s="226"/>
      <c r="H289" s="225">
        <f t="shared" si="78"/>
        <v>0</v>
      </c>
      <c r="I289" s="226"/>
      <c r="J289" s="227">
        <f t="shared" si="79"/>
        <v>0</v>
      </c>
      <c r="K289" s="228"/>
    </row>
    <row r="290" spans="1:12">
      <c r="A290" s="101">
        <f t="shared" si="74"/>
        <v>0</v>
      </c>
      <c r="B290" s="225">
        <f t="shared" si="75"/>
        <v>17</v>
      </c>
      <c r="C290" s="226"/>
      <c r="D290" s="225">
        <f t="shared" si="76"/>
        <v>18</v>
      </c>
      <c r="E290" s="226"/>
      <c r="F290" s="225">
        <f t="shared" si="77"/>
        <v>18.5</v>
      </c>
      <c r="G290" s="226"/>
      <c r="H290" s="225">
        <f t="shared" si="78"/>
        <v>0</v>
      </c>
      <c r="I290" s="226"/>
      <c r="J290" s="227">
        <f t="shared" si="79"/>
        <v>0</v>
      </c>
      <c r="K290" s="228"/>
    </row>
    <row r="291" spans="1:12">
      <c r="A291" s="101">
        <f t="shared" si="74"/>
        <v>0</v>
      </c>
      <c r="B291" s="225">
        <f t="shared" si="75"/>
        <v>17</v>
      </c>
      <c r="C291" s="226"/>
      <c r="D291" s="225">
        <f t="shared" si="76"/>
        <v>18</v>
      </c>
      <c r="E291" s="226"/>
      <c r="F291" s="225">
        <f t="shared" si="77"/>
        <v>18.5</v>
      </c>
      <c r="G291" s="226"/>
      <c r="H291" s="225">
        <f t="shared" si="78"/>
        <v>0</v>
      </c>
      <c r="I291" s="226"/>
      <c r="J291" s="227">
        <f t="shared" si="79"/>
        <v>0</v>
      </c>
      <c r="K291" s="228"/>
    </row>
    <row r="292" spans="1:12">
      <c r="A292" s="101">
        <f t="shared" si="74"/>
        <v>0</v>
      </c>
      <c r="B292" s="225">
        <f t="shared" si="75"/>
        <v>17</v>
      </c>
      <c r="C292" s="226"/>
      <c r="D292" s="225">
        <f t="shared" si="76"/>
        <v>18</v>
      </c>
      <c r="E292" s="226"/>
      <c r="F292" s="225">
        <f t="shared" si="77"/>
        <v>18.5</v>
      </c>
      <c r="G292" s="226"/>
      <c r="H292" s="225">
        <f t="shared" si="78"/>
        <v>0</v>
      </c>
      <c r="I292" s="226"/>
      <c r="J292" s="227">
        <f t="shared" si="79"/>
        <v>0</v>
      </c>
      <c r="K292" s="228"/>
    </row>
    <row r="294" spans="1:12">
      <c r="A294" s="99" t="s">
        <v>152</v>
      </c>
      <c r="B294" s="224"/>
      <c r="C294" s="224"/>
      <c r="D294" s="224"/>
      <c r="E294" s="224"/>
      <c r="F294" s="224"/>
      <c r="G294" s="224"/>
      <c r="H294" s="224"/>
      <c r="I294" s="224"/>
      <c r="J294" s="224"/>
      <c r="K294" s="224"/>
    </row>
    <row r="295" spans="1:12">
      <c r="A295" s="101" t="str">
        <f>A269</f>
        <v>R. Grotjahn (PI)</v>
      </c>
      <c r="B295" s="229">
        <f ca="1">ROUND(Request!N7/Worksheet!H171*Worksheet!B242*Worksheet!$B$241+Request!N7/Worksheet!H171*Worksheet!C242*Worksheet!C241,0)</f>
        <v>1166</v>
      </c>
      <c r="C295" s="230"/>
      <c r="D295" s="229">
        <f ca="1">ROUND(Request!O7/(D242+E242)*Worksheet!D242*Worksheet!D$241+Request!O7/(D242+E242)*Worksheet!E242*Worksheet!E$241,0)</f>
        <v>1272</v>
      </c>
      <c r="E295" s="230"/>
      <c r="F295" s="229">
        <f ca="1">ROUND(Request!P7/(F242+G242)*Worksheet!F242*Worksheet!F$241+Request!P7/(F242+G242)*Worksheet!G242*Worksheet!G$241,0)</f>
        <v>1347</v>
      </c>
      <c r="G295" s="230"/>
      <c r="H295" s="229" t="e">
        <f ca="1">ROUND(Request!Q7/(H242+I242)*Worksheet!H242*Worksheet!H$241+Request!Q7/(H242+I242)*Worksheet!I242*Worksheet!I$241,0)</f>
        <v>#VALUE!</v>
      </c>
      <c r="I295" s="230"/>
      <c r="J295" s="229" t="e">
        <f ca="1">ROUND(Request!R7/(J242+K242)*Worksheet!J242*Worksheet!J$241+Request!R7/(J242+K242)*Worksheet!K242*Worksheet!K$241,0)</f>
        <v>#VALUE!</v>
      </c>
      <c r="K295" s="230"/>
    </row>
    <row r="296" spans="1:12">
      <c r="A296" s="101" t="str">
        <f t="shared" ref="A296:A318" si="80">A270</f>
        <v>P. Ullrich (co-PI)</v>
      </c>
      <c r="B296" s="229">
        <f ca="1">ROUND(Request!N8/Worksheet!H172*Worksheet!B243*Worksheet!$B$241+Request!N8/Worksheet!H172*Worksheet!C243*Worksheet!$C$241,0)</f>
        <v>1362</v>
      </c>
      <c r="C296" s="230"/>
      <c r="D296" s="229">
        <f ca="1">ROUND(Request!O8/(D243+E243)*Worksheet!D243*Worksheet!D$241+Request!O8/(D243+E243)*Worksheet!E243*Worksheet!E$241,0)</f>
        <v>1534</v>
      </c>
      <c r="E296" s="230"/>
      <c r="F296" s="229">
        <f ca="1">ROUND(Request!P8/(F243+G243)*Worksheet!F243*Worksheet!F$241+Request!P8/(F243+G243)*Worksheet!G243*Worksheet!G$241,0)</f>
        <v>1626</v>
      </c>
      <c r="G296" s="230"/>
      <c r="H296" s="229" t="e">
        <f ca="1">ROUND(Request!Q8/(H243+I243)*Worksheet!H243*Worksheet!H$241+Request!Q8/(H243+I243)*Worksheet!I243*Worksheet!I$241,0)</f>
        <v>#VALUE!</v>
      </c>
      <c r="I296" s="230"/>
      <c r="J296" s="229" t="e">
        <f ca="1">ROUND(Request!R8/(J243+K243)*Worksheet!J243*Worksheet!J$241+Request!R8/(J243+K243)*Worksheet!K243*Worksheet!K$241,0)</f>
        <v>#VALUE!</v>
      </c>
      <c r="K296" s="230"/>
    </row>
    <row r="297" spans="1:12">
      <c r="A297" s="101" t="str">
        <f t="shared" si="80"/>
        <v>TBN (GSR IV)</v>
      </c>
      <c r="B297" s="229">
        <f ca="1">ROUND(Request!N9/Worksheet!H173*Worksheet!B244*Worksheet!$B$241+Request!N9/Worksheet!H173*Worksheet!C244*Worksheet!$C$241,0)</f>
        <v>5165</v>
      </c>
      <c r="C297" s="230"/>
      <c r="D297" s="229">
        <f ca="1">ROUND(Request!O9/(D244+E244)*Worksheet!D244*Worksheet!D$241+Request!O9/(D244+E244)*Worksheet!E244*Worksheet!E$241,0)</f>
        <v>5468</v>
      </c>
      <c r="E297" s="230"/>
      <c r="F297" s="229">
        <f ca="1">ROUND(Request!P9/(F244+G244)*Worksheet!F244*Worksheet!F$241+Request!P9/(F244+G244)*Worksheet!G244*Worksheet!G$241,0)</f>
        <v>5814</v>
      </c>
      <c r="G297" s="230"/>
      <c r="H297" s="229" t="e">
        <f ca="1">ROUND(Request!Q9/(H244+I244)*Worksheet!H244*Worksheet!H$241+Request!Q9/(H244+I244)*Worksheet!I244*Worksheet!I$241,0)</f>
        <v>#DIV/0!</v>
      </c>
      <c r="I297" s="230"/>
      <c r="J297" s="229" t="e">
        <f ca="1">ROUND(Request!R9/(J244+K244)*Worksheet!J244*Worksheet!J$241+Request!R9/(J244+K244)*Worksheet!K244*Worksheet!K$241,0)</f>
        <v>#DIV/0!</v>
      </c>
      <c r="K297" s="230"/>
    </row>
    <row r="298" spans="1:12">
      <c r="A298" s="101" t="str">
        <f t="shared" si="80"/>
        <v>TBN (GSR IV)</v>
      </c>
      <c r="B298" s="229">
        <f ca="1">ROUND(Request!N10/Worksheet!H174*Worksheet!B245*Worksheet!$B$241+Request!N10/Worksheet!H174*Worksheet!C245*Worksheet!$C$241,0)</f>
        <v>5165</v>
      </c>
      <c r="C298" s="230"/>
      <c r="D298" s="229">
        <f ca="1">ROUND(Request!O10/(D245+E245)*Worksheet!D245*Worksheet!D$241+Request!O10/(D245+E245)*Worksheet!E245*Worksheet!E$241,0)</f>
        <v>5468</v>
      </c>
      <c r="E298" s="230"/>
      <c r="F298" s="229">
        <f ca="1">ROUND(Request!P10/(F245+G245)*Worksheet!F245*Worksheet!F$241+Request!P10/(F245+G245)*Worksheet!G245*Worksheet!G$241,0)</f>
        <v>5814</v>
      </c>
      <c r="G298" s="230"/>
      <c r="H298" s="229" t="e">
        <f ca="1">ROUND(Request!Q10/(H245+I245)*Worksheet!H245*Worksheet!H$241+Request!Q10/(H245+I245)*Worksheet!I245*Worksheet!I$241,0)</f>
        <v>#DIV/0!</v>
      </c>
      <c r="I298" s="230"/>
      <c r="J298" s="229" t="e">
        <f ca="1">ROUND(Request!R10/(J245+K245)*Worksheet!J245*Worksheet!J$241+Request!R10/(J245+K245)*Worksheet!K245*Worksheet!K$241,0)</f>
        <v>#DIV/0!</v>
      </c>
      <c r="K298" s="230"/>
    </row>
    <row r="299" spans="1:12">
      <c r="A299" s="101">
        <f t="shared" si="80"/>
        <v>0</v>
      </c>
      <c r="B299" s="229">
        <f>IF((B246+C246)&lt;&gt;0,ROUND(Request!N11/Worksheet!H175*Worksheet!B246*Worksheet!$B$241+Request!N11/Worksheet!H175*Worksheet!C246*Worksheet!$C$241,0),0)</f>
        <v>0</v>
      </c>
      <c r="C299" s="230"/>
      <c r="D299" s="229" t="e">
        <f ca="1">ROUND(Request!O11/(D246+E246)*Worksheet!D246*Worksheet!D$241+Request!O11/(D246+E246)*Worksheet!E246*Worksheet!E$241,0)</f>
        <v>#DIV/0!</v>
      </c>
      <c r="E299" s="230"/>
      <c r="F299" s="229" t="e">
        <f ca="1">ROUND(Request!P11/(F246+G246)*Worksheet!F246*Worksheet!F$241+Request!P11/(F246+G246)*Worksheet!G246*Worksheet!G$241,0)</f>
        <v>#DIV/0!</v>
      </c>
      <c r="G299" s="230"/>
      <c r="H299" s="229" t="e">
        <f ca="1">ROUND(Request!Q11/(H246+I246)*Worksheet!H246*Worksheet!H$241+Request!Q11/(H246+I246)*Worksheet!I246*Worksheet!I$241,0)</f>
        <v>#DIV/0!</v>
      </c>
      <c r="I299" s="230"/>
      <c r="J299" s="229" t="e">
        <f ca="1">ROUND(Request!R11/(J246+K246)*Worksheet!J246*Worksheet!J$241+Request!R11/(J246+K246)*Worksheet!K246*Worksheet!K$241,0)</f>
        <v>#DIV/0!</v>
      </c>
      <c r="K299" s="230"/>
      <c r="L299" s="17"/>
    </row>
    <row r="300" spans="1:12">
      <c r="A300" s="101">
        <f t="shared" si="80"/>
        <v>0</v>
      </c>
      <c r="B300" s="229">
        <f>IF((B247+C247)&lt;&gt;0,ROUND(Request!N12/Worksheet!H176*Worksheet!B247*Worksheet!$B$241+Request!N12/Worksheet!H176*Worksheet!C247*Worksheet!$C$241,0),0)</f>
        <v>0</v>
      </c>
      <c r="C300" s="230"/>
      <c r="D300" s="229" t="e">
        <f ca="1">ROUND(Request!O12/(D247+E247)*Worksheet!D247*Worksheet!D$241+Request!O12/(D247+E247)*Worksheet!E247*Worksheet!E$241,0)</f>
        <v>#DIV/0!</v>
      </c>
      <c r="E300" s="230"/>
      <c r="F300" s="229" t="e">
        <f ca="1">ROUND(Request!P12/(F247+G247)*Worksheet!F247*Worksheet!F$241+Request!P12/(F247+G247)*Worksheet!G247*Worksheet!G$241,0)</f>
        <v>#DIV/0!</v>
      </c>
      <c r="G300" s="230"/>
      <c r="H300" s="229" t="e">
        <f ca="1">ROUND(Request!Q12/(H247+I247)*Worksheet!H247*Worksheet!H$241+Request!Q12/(H247+I247)*Worksheet!I247*Worksheet!I$241,0)</f>
        <v>#DIV/0!</v>
      </c>
      <c r="I300" s="230"/>
      <c r="J300" s="229" t="e">
        <f ca="1">ROUND(Request!R12/(J247+K247)*Worksheet!J247*Worksheet!J$241+Request!R12/(J247+K247)*Worksheet!K247*Worksheet!K$241,0)</f>
        <v>#DIV/0!</v>
      </c>
      <c r="K300" s="230"/>
    </row>
    <row r="301" spans="1:12">
      <c r="A301" s="101">
        <f t="shared" si="80"/>
        <v>0</v>
      </c>
      <c r="B301" s="229">
        <f>IF((B248+C248)&lt;&gt;0,ROUND(Request!N13/Worksheet!H177*Worksheet!B248*Worksheet!$B$241+Request!N13/Worksheet!H177*Worksheet!C248*Worksheet!$C$241,0),0)</f>
        <v>0</v>
      </c>
      <c r="C301" s="230"/>
      <c r="D301" s="229" t="e">
        <f ca="1">ROUND(Request!O13/(D248+E248)*Worksheet!D248*Worksheet!D$241+Request!O13/(D248+E248)*Worksheet!E248*Worksheet!E$241,0)</f>
        <v>#DIV/0!</v>
      </c>
      <c r="E301" s="230"/>
      <c r="F301" s="229" t="e">
        <f ca="1">ROUND(Request!P13/(F248+G248)*Worksheet!F248*Worksheet!F$241+Request!P13/(F248+G248)*Worksheet!G248*Worksheet!G$241,0)</f>
        <v>#DIV/0!</v>
      </c>
      <c r="G301" s="230"/>
      <c r="H301" s="229" t="e">
        <f ca="1">ROUND(Request!Q13/(H248+I248)*Worksheet!H248*Worksheet!H$241+Request!Q13/(H248+I248)*Worksheet!I248*Worksheet!I$241,0)</f>
        <v>#DIV/0!</v>
      </c>
      <c r="I301" s="230"/>
      <c r="J301" s="229" t="e">
        <f ca="1">ROUND(Request!R13/(J248+K248)*Worksheet!J248*Worksheet!J$241+Request!R13/(J248+K248)*Worksheet!K248*Worksheet!K$241,0)</f>
        <v>#DIV/0!</v>
      </c>
      <c r="K301" s="230"/>
    </row>
    <row r="302" spans="1:12">
      <c r="A302" s="101">
        <f t="shared" si="80"/>
        <v>0</v>
      </c>
      <c r="B302" s="229">
        <f>IF((B249+C249)&lt;&gt;0,ROUND(Request!N14/Worksheet!H178*Worksheet!B249*Worksheet!$B$241+Request!N14/Worksheet!H178*Worksheet!C249*Worksheet!$C$241,0),0)</f>
        <v>0</v>
      </c>
      <c r="C302" s="230"/>
      <c r="D302" s="229" t="e">
        <f ca="1">ROUND(Request!O14/(D249+E249)*Worksheet!D249*Worksheet!D$241+Request!O14/(D249+E249)*Worksheet!E249*Worksheet!E$241,0)</f>
        <v>#DIV/0!</v>
      </c>
      <c r="E302" s="230"/>
      <c r="F302" s="229" t="e">
        <f ca="1">ROUND(Request!P14/(F249+G249)*Worksheet!F249*Worksheet!F$241+Request!P14/(F249+G249)*Worksheet!G249*Worksheet!G$241,0)</f>
        <v>#DIV/0!</v>
      </c>
      <c r="G302" s="230"/>
      <c r="H302" s="229" t="e">
        <f ca="1">ROUND(Request!Q14/(H249+I249)*Worksheet!H249*Worksheet!H$241+Request!Q14/(H249+I249)*Worksheet!I249*Worksheet!I$241,0)</f>
        <v>#DIV/0!</v>
      </c>
      <c r="I302" s="230"/>
      <c r="J302" s="229" t="e">
        <f ca="1">ROUND(Request!R14/(J249+K249)*Worksheet!J249*Worksheet!J$241+Request!R14/(J249+K249)*Worksheet!K249*Worksheet!K$241,0)</f>
        <v>#DIV/0!</v>
      </c>
      <c r="K302" s="230"/>
    </row>
    <row r="303" spans="1:12">
      <c r="A303" s="101">
        <f t="shared" si="80"/>
        <v>0</v>
      </c>
      <c r="B303" s="229">
        <f>IF((B250+C250)&lt;&gt;0,ROUND(Request!N15/Worksheet!H179*Worksheet!B250*Worksheet!$B$241+Request!N15/Worksheet!H179*Worksheet!C250*Worksheet!$C$241,0),0)</f>
        <v>0</v>
      </c>
      <c r="C303" s="230"/>
      <c r="D303" s="229" t="e">
        <f ca="1">ROUND(Request!O15/(D250+E250)*Worksheet!D250*Worksheet!D$241+Request!O15/(D250+E250)*Worksheet!E250*Worksheet!E$241,0)</f>
        <v>#DIV/0!</v>
      </c>
      <c r="E303" s="230"/>
      <c r="F303" s="229" t="e">
        <f ca="1">ROUND(Request!P15/(F250+G250)*Worksheet!F250*Worksheet!F$241+Request!P15/(F250+G250)*Worksheet!G250*Worksheet!G$241,0)</f>
        <v>#DIV/0!</v>
      </c>
      <c r="G303" s="230"/>
      <c r="H303" s="229" t="e">
        <f ca="1">ROUND(Request!Q15/(H250+I250)*Worksheet!H250*Worksheet!H$241+Request!Q15/(H250+I250)*Worksheet!I250*Worksheet!I$241,0)</f>
        <v>#DIV/0!</v>
      </c>
      <c r="I303" s="230"/>
      <c r="J303" s="229" t="e">
        <f ca="1">ROUND(Request!R15/(J250+K250)*Worksheet!J250*Worksheet!J$241+Request!R15/(J250+K250)*Worksheet!K250*Worksheet!K$241,0)</f>
        <v>#DIV/0!</v>
      </c>
      <c r="K303" s="230"/>
    </row>
    <row r="304" spans="1:12">
      <c r="A304" s="101">
        <f t="shared" si="80"/>
        <v>0</v>
      </c>
      <c r="B304" s="229">
        <f>IF((B251+C251)&lt;&gt;0,ROUND(Request!N16/Worksheet!H180*Worksheet!B251*Worksheet!$B$241+Request!N16/Worksheet!H180*Worksheet!C251*Worksheet!$C$241,0),0)</f>
        <v>0</v>
      </c>
      <c r="C304" s="230"/>
      <c r="D304" s="229" t="e">
        <f ca="1">ROUND(Request!O16/(D251+E251)*Worksheet!D251*Worksheet!D$241+Request!O16/(D251+E251)*Worksheet!E251*Worksheet!E$241,0)</f>
        <v>#DIV/0!</v>
      </c>
      <c r="E304" s="230"/>
      <c r="F304" s="229" t="e">
        <f ca="1">ROUND(Request!P16/(F251+G251)*Worksheet!F251*Worksheet!F$241+Request!P16/(F251+G251)*Worksheet!G251*Worksheet!G$241,0)</f>
        <v>#DIV/0!</v>
      </c>
      <c r="G304" s="230"/>
      <c r="H304" s="229" t="e">
        <f ca="1">ROUND(Request!Q16/(H251+I251)*Worksheet!H251*Worksheet!H$241+Request!Q16/(H251+I251)*Worksheet!I251*Worksheet!I$241,0)</f>
        <v>#DIV/0!</v>
      </c>
      <c r="I304" s="230"/>
      <c r="J304" s="229" t="e">
        <f ca="1">ROUND(Request!R16/(J251+K251)*Worksheet!J251*Worksheet!J$241+Request!R16/(J251+K251)*Worksheet!K251*Worksheet!K$241,0)</f>
        <v>#DIV/0!</v>
      </c>
      <c r="K304" s="230"/>
    </row>
    <row r="305" spans="1:11">
      <c r="A305" s="101">
        <f t="shared" si="80"/>
        <v>0</v>
      </c>
      <c r="B305" s="229">
        <f>IF((B252+C252)&lt;&gt;0,ROUND(Request!N17/Worksheet!H181*Worksheet!B252*Worksheet!$B$241+Request!N17/Worksheet!H181*Worksheet!C252*Worksheet!$C$241,0),0)</f>
        <v>0</v>
      </c>
      <c r="C305" s="230"/>
      <c r="D305" s="229" t="e">
        <f ca="1">ROUND(Request!O17/(D252+E252)*Worksheet!D252*Worksheet!D$241+Request!O17/(D252+E252)*Worksheet!E252*Worksheet!E$241,0)</f>
        <v>#DIV/0!</v>
      </c>
      <c r="E305" s="230"/>
      <c r="F305" s="229" t="e">
        <f ca="1">ROUND(Request!P17/(F252+G252)*Worksheet!F252*Worksheet!F$241+Request!P17/(F252+G252)*Worksheet!G252*Worksheet!G$241,0)</f>
        <v>#DIV/0!</v>
      </c>
      <c r="G305" s="230"/>
      <c r="H305" s="229" t="e">
        <f ca="1">ROUND(Request!Q17/(H252+I252)*Worksheet!H252*Worksheet!H$241+Request!Q17/(H252+I252)*Worksheet!I252*Worksheet!I$241,0)</f>
        <v>#DIV/0!</v>
      </c>
      <c r="I305" s="230"/>
      <c r="J305" s="229" t="e">
        <f ca="1">ROUND(Request!R17/(J252+K252)*Worksheet!J252*Worksheet!J$241+Request!R17/(J252+K252)*Worksheet!K252*Worksheet!K$241,0)</f>
        <v>#DIV/0!</v>
      </c>
      <c r="K305" s="230"/>
    </row>
    <row r="306" spans="1:11">
      <c r="A306" s="101">
        <f t="shared" si="80"/>
        <v>0</v>
      </c>
      <c r="B306" s="229">
        <f>IF((B253+C253)&lt;&gt;0,ROUND(Request!N18/Worksheet!H182*Worksheet!B253*Worksheet!$B$241+Request!N18/Worksheet!H182*Worksheet!C253*Worksheet!$C$241,0),0)</f>
        <v>0</v>
      </c>
      <c r="C306" s="230"/>
      <c r="D306" s="229" t="e">
        <f ca="1">ROUND(Request!O18/(D253+E253)*Worksheet!D253*Worksheet!D$241+Request!O18/(D253+E253)*Worksheet!E253*Worksheet!E$241,0)</f>
        <v>#DIV/0!</v>
      </c>
      <c r="E306" s="230"/>
      <c r="F306" s="229" t="e">
        <f ca="1">ROUND(Request!P18/(F253+G253)*Worksheet!F253*Worksheet!F$241+Request!P18/(F253+G253)*Worksheet!G253*Worksheet!G$241,0)</f>
        <v>#DIV/0!</v>
      </c>
      <c r="G306" s="230"/>
      <c r="H306" s="229" t="e">
        <f ca="1">ROUND(Request!Q18/(H253+I253)*Worksheet!H253*Worksheet!H$241+Request!Q18/(H253+I253)*Worksheet!I253*Worksheet!I$241,0)</f>
        <v>#DIV/0!</v>
      </c>
      <c r="I306" s="230"/>
      <c r="J306" s="229" t="e">
        <f ca="1">ROUND(Request!R18/(J253+K253)*Worksheet!J253*Worksheet!J$241+Request!R18/(J253+K253)*Worksheet!K253*Worksheet!K$241,0)</f>
        <v>#DIV/0!</v>
      </c>
      <c r="K306" s="230"/>
    </row>
    <row r="307" spans="1:11">
      <c r="A307" s="101">
        <f t="shared" si="80"/>
        <v>0</v>
      </c>
      <c r="B307" s="229">
        <f>IF((B254+C254)&lt;&gt;0,ROUND(Request!N19/Worksheet!H183*Worksheet!B254*Worksheet!$B$241+Request!N19/Worksheet!H183*Worksheet!C254*Worksheet!$C$241,0),0)</f>
        <v>0</v>
      </c>
      <c r="C307" s="230"/>
      <c r="D307" s="229" t="e">
        <f ca="1">ROUND(Request!O19/(D254+E254)*Worksheet!D254*Worksheet!D$241+Request!O19/(D254+E254)*Worksheet!E254*Worksheet!E$241,0)</f>
        <v>#DIV/0!</v>
      </c>
      <c r="E307" s="230"/>
      <c r="F307" s="229" t="e">
        <f ca="1">ROUND(Request!P19/(F254+G254)*Worksheet!F254*Worksheet!F$241+Request!P19/(F254+G254)*Worksheet!G254*Worksheet!G$241,0)</f>
        <v>#DIV/0!</v>
      </c>
      <c r="G307" s="230"/>
      <c r="H307" s="229" t="e">
        <f ca="1">ROUND(Request!Q19/(H254+I254)*Worksheet!H254*Worksheet!H$241+Request!Q19/(H254+I254)*Worksheet!I254*Worksheet!I$241,0)</f>
        <v>#DIV/0!</v>
      </c>
      <c r="I307" s="230"/>
      <c r="J307" s="229" t="e">
        <f ca="1">ROUND(Request!R19/(J254+K254)*Worksheet!J254*Worksheet!J$241+Request!R19/(J254+K254)*Worksheet!K254*Worksheet!K$241,0)</f>
        <v>#DIV/0!</v>
      </c>
      <c r="K307" s="230"/>
    </row>
    <row r="308" spans="1:11">
      <c r="A308" s="101">
        <f t="shared" si="80"/>
        <v>0</v>
      </c>
      <c r="B308" s="229">
        <f>IF((B255+C255)&lt;&gt;0,ROUND(Request!N20/Worksheet!H184*Worksheet!B255*Worksheet!$B$241+Request!N20/Worksheet!H184*Worksheet!C255*Worksheet!$C$241,0),0)</f>
        <v>0</v>
      </c>
      <c r="C308" s="230"/>
      <c r="D308" s="229" t="e">
        <f ca="1">ROUND(Request!O20/(D255+E255)*Worksheet!D255*Worksheet!D$241+Request!O20/(D255+E255)*Worksheet!E255*Worksheet!E$241,0)</f>
        <v>#DIV/0!</v>
      </c>
      <c r="E308" s="230"/>
      <c r="F308" s="229" t="e">
        <f ca="1">ROUND(Request!P20/(F255+G255)*Worksheet!F255*Worksheet!F$241+Request!P20/(F255+G255)*Worksheet!G255*Worksheet!G$241,0)</f>
        <v>#DIV/0!</v>
      </c>
      <c r="G308" s="230"/>
      <c r="H308" s="229" t="e">
        <f ca="1">ROUND(Request!Q20/(H255+I255)*Worksheet!H255*Worksheet!H$241+Request!Q20/(H255+I255)*Worksheet!I255*Worksheet!I$241,0)</f>
        <v>#DIV/0!</v>
      </c>
      <c r="I308" s="230"/>
      <c r="J308" s="229" t="e">
        <f ca="1">ROUND(Request!R20/(J255+K255)*Worksheet!J255*Worksheet!J$241+Request!R20/(J255+K255)*Worksheet!K255*Worksheet!K$241,0)</f>
        <v>#DIV/0!</v>
      </c>
      <c r="K308" s="230"/>
    </row>
    <row r="309" spans="1:11">
      <c r="A309" s="101">
        <f t="shared" si="80"/>
        <v>0</v>
      </c>
      <c r="B309" s="229">
        <f>IF((B256+C256)&lt;&gt;0,ROUND(Request!N21/Worksheet!H185*Worksheet!B256*Worksheet!$B$241+Request!N21/Worksheet!H185*Worksheet!C256*Worksheet!$C$241,0),0)</f>
        <v>0</v>
      </c>
      <c r="C309" s="230"/>
      <c r="D309" s="229" t="e">
        <f ca="1">ROUND(Request!O21/(D256+E256)*Worksheet!D256*Worksheet!D$241+Request!O21/(D256+E256)*Worksheet!E256*Worksheet!E$241,0)</f>
        <v>#DIV/0!</v>
      </c>
      <c r="E309" s="230"/>
      <c r="F309" s="229" t="e">
        <f ca="1">ROUND(Request!P21/(F256+G256)*Worksheet!F256*Worksheet!F$241+Request!P21/(F256+G256)*Worksheet!G256*Worksheet!G$241,0)</f>
        <v>#DIV/0!</v>
      </c>
      <c r="G309" s="230"/>
      <c r="H309" s="229" t="e">
        <f ca="1">ROUND(Request!Q21/(H256+I256)*Worksheet!H256*Worksheet!H$241+Request!Q21/(H256+I256)*Worksheet!I256*Worksheet!I$241,0)</f>
        <v>#DIV/0!</v>
      </c>
      <c r="I309" s="230"/>
      <c r="J309" s="229" t="e">
        <f ca="1">ROUND(Request!R21/(J256+K256)*Worksheet!J256*Worksheet!J$241+Request!R21/(J256+K256)*Worksheet!K256*Worksheet!K$241,0)</f>
        <v>#DIV/0!</v>
      </c>
      <c r="K309" s="230"/>
    </row>
    <row r="310" spans="1:11">
      <c r="A310" s="101">
        <f t="shared" si="80"/>
        <v>0</v>
      </c>
      <c r="B310" s="229">
        <f>IF((B257+C257)&lt;&gt;0,ROUND(Request!N22/Worksheet!H186*Worksheet!B257*Worksheet!$B$241+Request!N22/Worksheet!H186*Worksheet!C257*Worksheet!$C$241,0),0)</f>
        <v>0</v>
      </c>
      <c r="C310" s="230"/>
      <c r="D310" s="229" t="e">
        <f ca="1">ROUND(Request!O22/(D257+E257)*Worksheet!D257*Worksheet!D$241+Request!O22/(D257+E257)*Worksheet!E257*Worksheet!E$241,0)</f>
        <v>#DIV/0!</v>
      </c>
      <c r="E310" s="230"/>
      <c r="F310" s="229" t="e">
        <f ca="1">ROUND(Request!P22/(F257+G257)*Worksheet!F257*Worksheet!F$241+Request!P22/(F257+G257)*Worksheet!G257*Worksheet!G$241,0)</f>
        <v>#DIV/0!</v>
      </c>
      <c r="G310" s="230"/>
      <c r="H310" s="229" t="e">
        <f ca="1">ROUND(Request!Q22/(H257+I257)*Worksheet!H257*Worksheet!H$241+Request!Q22/(H257+I257)*Worksheet!I257*Worksheet!I$241,0)</f>
        <v>#DIV/0!</v>
      </c>
      <c r="I310" s="230"/>
      <c r="J310" s="229" t="e">
        <f ca="1">ROUND(Request!R22/(J257+K257)*Worksheet!J257*Worksheet!J$241+Request!R22/(J257+K257)*Worksheet!K257*Worksheet!K$241,0)</f>
        <v>#DIV/0!</v>
      </c>
      <c r="K310" s="230"/>
    </row>
    <row r="311" spans="1:11">
      <c r="A311" s="101">
        <f t="shared" si="80"/>
        <v>0</v>
      </c>
      <c r="B311" s="229">
        <f>IF((B258+C258)&lt;&gt;0,ROUND(Request!N23/Worksheet!H187*Worksheet!B258*Worksheet!$B$241+Request!N23/Worksheet!H187*Worksheet!C258*Worksheet!$C$241,0),0)</f>
        <v>0</v>
      </c>
      <c r="C311" s="230"/>
      <c r="D311" s="229" t="e">
        <f ca="1">ROUND(Request!O23/(D258+E258)*Worksheet!D258*Worksheet!D$241+Request!O23/(D258+E258)*Worksheet!E258*Worksheet!E$241,0)</f>
        <v>#DIV/0!</v>
      </c>
      <c r="E311" s="230"/>
      <c r="F311" s="229" t="e">
        <f ca="1">ROUND(Request!P23/(F258+G258)*Worksheet!F258*Worksheet!F$241+Request!P23/(F258+G258)*Worksheet!G258*Worksheet!G$241,0)</f>
        <v>#DIV/0!</v>
      </c>
      <c r="G311" s="230"/>
      <c r="H311" s="229" t="e">
        <f ca="1">ROUND(Request!Q23/(H258+I258)*Worksheet!H258*Worksheet!H$241+Request!Q23/(H258+I258)*Worksheet!I258*Worksheet!I$241,0)</f>
        <v>#DIV/0!</v>
      </c>
      <c r="I311" s="230"/>
      <c r="J311" s="229" t="e">
        <f ca="1">ROUND(Request!R23/(J258+K258)*Worksheet!J258*Worksheet!J$241+Request!R23/(J258+K258)*Worksheet!K258*Worksheet!K$241,0)</f>
        <v>#DIV/0!</v>
      </c>
      <c r="K311" s="230"/>
    </row>
    <row r="312" spans="1:11">
      <c r="A312" s="101">
        <f t="shared" si="80"/>
        <v>0</v>
      </c>
      <c r="B312" s="229">
        <f>IF((B259+C259)&lt;&gt;0,ROUND(Request!N24/Worksheet!H188*Worksheet!B259*Worksheet!$B$241+Request!N24/Worksheet!H188*Worksheet!C259*Worksheet!$C$241,0),0)</f>
        <v>0</v>
      </c>
      <c r="C312" s="230"/>
      <c r="D312" s="229" t="e">
        <f ca="1">ROUND(Request!O24/(D259+E259)*Worksheet!D259*Worksheet!D$241+Request!O24/(D259+E259)*Worksheet!E259*Worksheet!E$241,0)</f>
        <v>#DIV/0!</v>
      </c>
      <c r="E312" s="230"/>
      <c r="F312" s="229" t="e">
        <f ca="1">ROUND(Request!P24/(F259+G259)*Worksheet!F259*Worksheet!F$241+Request!P24/(F259+G259)*Worksheet!G259*Worksheet!G$241,0)</f>
        <v>#DIV/0!</v>
      </c>
      <c r="G312" s="230"/>
      <c r="H312" s="229" t="e">
        <f ca="1">ROUND(Request!Q24/(H259+I259)*Worksheet!H259*Worksheet!H$241+Request!Q24/(H259+I259)*Worksheet!I259*Worksheet!I$241,0)</f>
        <v>#DIV/0!</v>
      </c>
      <c r="I312" s="230"/>
      <c r="J312" s="229" t="e">
        <f ca="1">ROUND(Request!R24/(J259+K259)*Worksheet!J259*Worksheet!J$241+Request!R24/(J259+K259)*Worksheet!K259*Worksheet!K$241,0)</f>
        <v>#DIV/0!</v>
      </c>
      <c r="K312" s="230"/>
    </row>
    <row r="313" spans="1:11">
      <c r="A313" s="101">
        <f t="shared" si="80"/>
        <v>0</v>
      </c>
      <c r="B313" s="229">
        <f>IF((B260+C260)&lt;&gt;0,ROUND(Request!N25/Worksheet!H189*Worksheet!B260*Worksheet!$B$241+Request!N25/Worksheet!H189*Worksheet!C260*Worksheet!$C$241,0),0)</f>
        <v>0</v>
      </c>
      <c r="C313" s="230"/>
      <c r="D313" s="229" t="e">
        <f ca="1">ROUND(Request!O25/(D260+E260)*Worksheet!D260*Worksheet!D$241+Request!O25/(D260+E260)*Worksheet!E260*Worksheet!E$241,0)</f>
        <v>#DIV/0!</v>
      </c>
      <c r="E313" s="230"/>
      <c r="F313" s="229" t="e">
        <f ca="1">ROUND(Request!P25/(F260+G260)*Worksheet!F260*Worksheet!F$241+Request!P25/(F260+G260)*Worksheet!G260*Worksheet!G$241,0)</f>
        <v>#DIV/0!</v>
      </c>
      <c r="G313" s="230"/>
      <c r="H313" s="229" t="e">
        <f ca="1">ROUND(Request!Q25/(H260+I260)*Worksheet!H260*Worksheet!H$241+Request!Q25/(H260+I260)*Worksheet!I260*Worksheet!I$241,0)</f>
        <v>#DIV/0!</v>
      </c>
      <c r="I313" s="230"/>
      <c r="J313" s="229" t="e">
        <f ca="1">ROUND(Request!R25/(J260+K260)*Worksheet!J260*Worksheet!J$241+Request!R25/(J260+K260)*Worksheet!K260*Worksheet!K$241,0)</f>
        <v>#DIV/0!</v>
      </c>
      <c r="K313" s="230"/>
    </row>
    <row r="314" spans="1:11">
      <c r="A314" s="101">
        <f t="shared" si="80"/>
        <v>0</v>
      </c>
      <c r="B314" s="229">
        <f>IF((B261+C261)&lt;&gt;0,ROUND(Request!N26/Worksheet!H190*Worksheet!B261*Worksheet!$B$241+Request!N26/Worksheet!H190*Worksheet!C261*Worksheet!$C$241,0),0)</f>
        <v>0</v>
      </c>
      <c r="C314" s="230"/>
      <c r="D314" s="229" t="e">
        <f ca="1">ROUND(Request!O26/(D261+E261)*Worksheet!D261*Worksheet!D$241+Request!O26/(D261+E261)*Worksheet!E261*Worksheet!E$241,0)</f>
        <v>#DIV/0!</v>
      </c>
      <c r="E314" s="230"/>
      <c r="F314" s="229" t="e">
        <f ca="1">ROUND(Request!P26/(F261+G261)*Worksheet!F261*Worksheet!F$241+Request!P26/(F261+G261)*Worksheet!G261*Worksheet!G$241,0)</f>
        <v>#DIV/0!</v>
      </c>
      <c r="G314" s="230"/>
      <c r="H314" s="229" t="e">
        <f ca="1">ROUND(Request!Q26/(H261+I261)*Worksheet!H261*Worksheet!H$241+Request!Q26/(H261+I261)*Worksheet!I261*Worksheet!I$241,0)</f>
        <v>#DIV/0!</v>
      </c>
      <c r="I314" s="230"/>
      <c r="J314" s="229" t="e">
        <f ca="1">ROUND(Request!R26/(J261+K261)*Worksheet!J261*Worksheet!J$241+Request!R26/(J261+K261)*Worksheet!K261*Worksheet!K$241,0)</f>
        <v>#DIV/0!</v>
      </c>
      <c r="K314" s="230"/>
    </row>
    <row r="315" spans="1:11">
      <c r="A315" s="101">
        <f t="shared" si="80"/>
        <v>0</v>
      </c>
      <c r="B315" s="229">
        <f>IF((B262+C262)&lt;&gt;0,ROUND(Request!N27/Worksheet!H191*Worksheet!B262*Worksheet!$B$241+Request!N27/Worksheet!H191*Worksheet!C262*Worksheet!$C$241,0),0)</f>
        <v>0</v>
      </c>
      <c r="C315" s="230"/>
      <c r="D315" s="229" t="e">
        <f ca="1">ROUND(Request!O27/(D262+E262)*Worksheet!D262*Worksheet!D$241+Request!O27/(D262+E262)*Worksheet!E262*Worksheet!E$241,0)</f>
        <v>#DIV/0!</v>
      </c>
      <c r="E315" s="230"/>
      <c r="F315" s="229" t="e">
        <f ca="1">ROUND(Request!P27/(F262+G262)*Worksheet!F262*Worksheet!F$241+Request!P27/(F262+G262)*Worksheet!G262*Worksheet!G$241,0)</f>
        <v>#DIV/0!</v>
      </c>
      <c r="G315" s="230"/>
      <c r="H315" s="229" t="e">
        <f ca="1">ROUND(Request!Q27/(H262+I262)*Worksheet!H262*Worksheet!H$241+Request!Q27/(H262+I262)*Worksheet!I262*Worksheet!I$241,0)</f>
        <v>#DIV/0!</v>
      </c>
      <c r="I315" s="230"/>
      <c r="J315" s="229" t="e">
        <f ca="1">ROUND(Request!R27/(J262+K262)*Worksheet!J262*Worksheet!J$241+Request!R27/(J262+K262)*Worksheet!K262*Worksheet!K$241,0)</f>
        <v>#DIV/0!</v>
      </c>
      <c r="K315" s="230"/>
    </row>
    <row r="316" spans="1:11">
      <c r="A316" s="101">
        <f t="shared" si="80"/>
        <v>0</v>
      </c>
      <c r="B316" s="229">
        <f>IF((B263+C263)&lt;&gt;0,ROUND(Request!N28/Worksheet!H192*Worksheet!B263*Worksheet!$B$241+Request!N28/Worksheet!H192*Worksheet!C263*Worksheet!$C$241,0),0)</f>
        <v>0</v>
      </c>
      <c r="C316" s="230"/>
      <c r="D316" s="229" t="e">
        <f ca="1">ROUND(Request!O28/(D263+E263)*Worksheet!D263*Worksheet!D$241+Request!O28/(D263+E263)*Worksheet!E263*Worksheet!E$241,0)</f>
        <v>#DIV/0!</v>
      </c>
      <c r="E316" s="230"/>
      <c r="F316" s="229" t="e">
        <f ca="1">ROUND(Request!P28/(F263+G263)*Worksheet!F263*Worksheet!F$241+Request!P28/(F263+G263)*Worksheet!G263*Worksheet!G$241,0)</f>
        <v>#DIV/0!</v>
      </c>
      <c r="G316" s="230"/>
      <c r="H316" s="229" t="e">
        <f ca="1">ROUND(Request!Q28/(H263+I263)*Worksheet!H263*Worksheet!H$241+Request!Q28/(H263+I263)*Worksheet!I263*Worksheet!I$241,0)</f>
        <v>#DIV/0!</v>
      </c>
      <c r="I316" s="230"/>
      <c r="J316" s="229" t="e">
        <f ca="1">ROUND(Request!R28/(J263+K263)*Worksheet!J263*Worksheet!J$241+Request!R28/(J263+K263)*Worksheet!K263*Worksheet!K$241,0)</f>
        <v>#DIV/0!</v>
      </c>
      <c r="K316" s="230"/>
    </row>
    <row r="317" spans="1:11">
      <c r="A317" s="101">
        <f t="shared" si="80"/>
        <v>0</v>
      </c>
      <c r="B317" s="229">
        <f>IF((B264+C264)&lt;&gt;0,ROUND(Request!N29/Worksheet!H193*Worksheet!B264*Worksheet!$B$241+Request!N29/Worksheet!H193*Worksheet!C264*Worksheet!$C$241,0),0)</f>
        <v>0</v>
      </c>
      <c r="C317" s="230"/>
      <c r="D317" s="229" t="e">
        <f ca="1">ROUND(Request!O29/(D264+E264)*Worksheet!D264*Worksheet!D$241+Request!O29/(D264+E264)*Worksheet!E264*Worksheet!E$241,0)</f>
        <v>#DIV/0!</v>
      </c>
      <c r="E317" s="230"/>
      <c r="F317" s="229" t="e">
        <f ca="1">ROUND(Request!P29/(F264+G264)*Worksheet!F264*Worksheet!F$241+Request!P29/(F264+G264)*Worksheet!G264*Worksheet!G$241,0)</f>
        <v>#DIV/0!</v>
      </c>
      <c r="G317" s="230"/>
      <c r="H317" s="229" t="e">
        <f ca="1">ROUND(Request!Q29/(H264+I264)*Worksheet!H264*Worksheet!H$241+Request!Q29/(H264+I264)*Worksheet!I264*Worksheet!I$241,0)</f>
        <v>#DIV/0!</v>
      </c>
      <c r="I317" s="230"/>
      <c r="J317" s="229" t="e">
        <f ca="1">ROUND(Request!R29/(J264+K264)*Worksheet!J264*Worksheet!J$241+Request!R29/(J264+K264)*Worksheet!K264*Worksheet!K$241,0)</f>
        <v>#DIV/0!</v>
      </c>
      <c r="K317" s="230"/>
    </row>
    <row r="318" spans="1:11">
      <c r="A318" s="101">
        <f t="shared" si="80"/>
        <v>0</v>
      </c>
      <c r="B318" s="229">
        <f>IF((B265+C265)&lt;&gt;0,ROUND(Request!N30/Worksheet!H194*Worksheet!B265*Worksheet!$B$241+Request!N30/Worksheet!H194*Worksheet!C265*Worksheet!$C$241,0),0)</f>
        <v>0</v>
      </c>
      <c r="C318" s="230"/>
      <c r="D318" s="229" t="e">
        <f ca="1">ROUND(Request!O30/(D265+E265)*Worksheet!D265*Worksheet!D$241+Request!O30/(D265+E265)*Worksheet!E265*Worksheet!E$241,0)</f>
        <v>#DIV/0!</v>
      </c>
      <c r="E318" s="230"/>
      <c r="F318" s="229" t="e">
        <f ca="1">ROUND(Request!P30/(F265+G265)*Worksheet!F265*Worksheet!F$241+Request!P30/(F265+G265)*Worksheet!G265*Worksheet!G$241,0)</f>
        <v>#DIV/0!</v>
      </c>
      <c r="G318" s="230"/>
      <c r="H318" s="229" t="e">
        <f ca="1">ROUND(Request!Q30/(H265+I265)*Worksheet!H265*Worksheet!H$241+Request!Q30/(H265+I265)*Worksheet!I265*Worksheet!I$241,0)</f>
        <v>#DIV/0!</v>
      </c>
      <c r="I318" s="230"/>
      <c r="J318" s="229" t="e">
        <f ca="1">ROUND(Request!R30/(J265+K265)*Worksheet!J265*Worksheet!J$241+Request!R30/(J265+K265)*Worksheet!K265*Worksheet!K$241,0)</f>
        <v>#DIV/0!</v>
      </c>
      <c r="K318" s="230"/>
    </row>
  </sheetData>
  <mergeCells count="302">
    <mergeCell ref="B316:C316"/>
    <mergeCell ref="D316:E316"/>
    <mergeCell ref="F316:G316"/>
    <mergeCell ref="H316:I316"/>
    <mergeCell ref="J316:K316"/>
    <mergeCell ref="B315:C315"/>
    <mergeCell ref="D315:E315"/>
    <mergeCell ref="F315:G315"/>
    <mergeCell ref="H315:I315"/>
    <mergeCell ref="J315:K315"/>
    <mergeCell ref="B318:C318"/>
    <mergeCell ref="D318:E318"/>
    <mergeCell ref="F318:G318"/>
    <mergeCell ref="H318:I318"/>
    <mergeCell ref="J318:K318"/>
    <mergeCell ref="B317:C317"/>
    <mergeCell ref="D317:E317"/>
    <mergeCell ref="F317:G317"/>
    <mergeCell ref="H317:I317"/>
    <mergeCell ref="J317:K317"/>
    <mergeCell ref="F314:G314"/>
    <mergeCell ref="H314:I314"/>
    <mergeCell ref="J314:K314"/>
    <mergeCell ref="B313:C313"/>
    <mergeCell ref="D313:E313"/>
    <mergeCell ref="F313:G313"/>
    <mergeCell ref="H313:I313"/>
    <mergeCell ref="J313:K313"/>
    <mergeCell ref="B312:C312"/>
    <mergeCell ref="D312:E312"/>
    <mergeCell ref="F312:G312"/>
    <mergeCell ref="H312:I312"/>
    <mergeCell ref="J312:K312"/>
    <mergeCell ref="B314:C314"/>
    <mergeCell ref="D314:E314"/>
    <mergeCell ref="B311:C311"/>
    <mergeCell ref="D311:E311"/>
    <mergeCell ref="F311:G311"/>
    <mergeCell ref="H311:I311"/>
    <mergeCell ref="J311:K311"/>
    <mergeCell ref="B310:C310"/>
    <mergeCell ref="D310:E310"/>
    <mergeCell ref="F310:G310"/>
    <mergeCell ref="H310:I310"/>
    <mergeCell ref="J310:K310"/>
    <mergeCell ref="B309:C309"/>
    <mergeCell ref="D309:E309"/>
    <mergeCell ref="F309:G309"/>
    <mergeCell ref="H309:I309"/>
    <mergeCell ref="J309:K309"/>
    <mergeCell ref="B308:C308"/>
    <mergeCell ref="D308:E308"/>
    <mergeCell ref="F308:G308"/>
    <mergeCell ref="H308:I308"/>
    <mergeCell ref="J308:K308"/>
    <mergeCell ref="B307:C307"/>
    <mergeCell ref="D307:E307"/>
    <mergeCell ref="F307:G307"/>
    <mergeCell ref="H307:I307"/>
    <mergeCell ref="J307:K307"/>
    <mergeCell ref="H294:I294"/>
    <mergeCell ref="J294:K294"/>
    <mergeCell ref="B295:C295"/>
    <mergeCell ref="D295:E295"/>
    <mergeCell ref="F295:G295"/>
    <mergeCell ref="H295:I295"/>
    <mergeCell ref="J295:K295"/>
    <mergeCell ref="B306:C306"/>
    <mergeCell ref="D306:E306"/>
    <mergeCell ref="F306:G306"/>
    <mergeCell ref="H306:I306"/>
    <mergeCell ref="J306:K306"/>
    <mergeCell ref="B305:C305"/>
    <mergeCell ref="D305:E305"/>
    <mergeCell ref="F305:G305"/>
    <mergeCell ref="H305:I305"/>
    <mergeCell ref="J305:K305"/>
    <mergeCell ref="J303:K303"/>
    <mergeCell ref="J304:K304"/>
    <mergeCell ref="F303:G303"/>
    <mergeCell ref="H303:I303"/>
    <mergeCell ref="F304:G304"/>
    <mergeCell ref="H304:I304"/>
    <mergeCell ref="B303:C303"/>
    <mergeCell ref="D303:E303"/>
    <mergeCell ref="B304:C304"/>
    <mergeCell ref="D304:E304"/>
    <mergeCell ref="J301:K301"/>
    <mergeCell ref="J302:K302"/>
    <mergeCell ref="F301:G301"/>
    <mergeCell ref="H301:I301"/>
    <mergeCell ref="F302:G302"/>
    <mergeCell ref="H302:I302"/>
    <mergeCell ref="B301:C301"/>
    <mergeCell ref="D301:E301"/>
    <mergeCell ref="B302:C302"/>
    <mergeCell ref="D302:E302"/>
    <mergeCell ref="J299:K299"/>
    <mergeCell ref="J300:K300"/>
    <mergeCell ref="F299:G299"/>
    <mergeCell ref="H299:I299"/>
    <mergeCell ref="F300:G300"/>
    <mergeCell ref="H300:I300"/>
    <mergeCell ref="B299:C299"/>
    <mergeCell ref="D299:E299"/>
    <mergeCell ref="B300:C300"/>
    <mergeCell ref="D300:E300"/>
    <mergeCell ref="J297:K297"/>
    <mergeCell ref="J298:K298"/>
    <mergeCell ref="F297:G297"/>
    <mergeCell ref="H297:I297"/>
    <mergeCell ref="F298:G298"/>
    <mergeCell ref="H298:I298"/>
    <mergeCell ref="B297:C297"/>
    <mergeCell ref="D297:E297"/>
    <mergeCell ref="B298:C298"/>
    <mergeCell ref="D298:E298"/>
    <mergeCell ref="J296:K296"/>
    <mergeCell ref="F296:G296"/>
    <mergeCell ref="H296:I296"/>
    <mergeCell ref="B296:C296"/>
    <mergeCell ref="D296:E296"/>
    <mergeCell ref="J289:K289"/>
    <mergeCell ref="J290:K290"/>
    <mergeCell ref="J291:K291"/>
    <mergeCell ref="J292:K292"/>
    <mergeCell ref="H289:I289"/>
    <mergeCell ref="H290:I290"/>
    <mergeCell ref="H291:I291"/>
    <mergeCell ref="H292:I292"/>
    <mergeCell ref="F289:G289"/>
    <mergeCell ref="F290:G290"/>
    <mergeCell ref="F291:G291"/>
    <mergeCell ref="F292:G292"/>
    <mergeCell ref="D292:E292"/>
    <mergeCell ref="B289:C289"/>
    <mergeCell ref="B290:C290"/>
    <mergeCell ref="B291:C291"/>
    <mergeCell ref="B292:C292"/>
    <mergeCell ref="B294:C294"/>
    <mergeCell ref="F294:G294"/>
    <mergeCell ref="J284:K284"/>
    <mergeCell ref="J285:K285"/>
    <mergeCell ref="J286:K286"/>
    <mergeCell ref="J287:K287"/>
    <mergeCell ref="J288:K288"/>
    <mergeCell ref="J279:K279"/>
    <mergeCell ref="J280:K280"/>
    <mergeCell ref="J281:K281"/>
    <mergeCell ref="J282:K282"/>
    <mergeCell ref="J283:K283"/>
    <mergeCell ref="J274:K274"/>
    <mergeCell ref="J275:K275"/>
    <mergeCell ref="J276:K276"/>
    <mergeCell ref="J277:K277"/>
    <mergeCell ref="J278:K278"/>
    <mergeCell ref="J269:K269"/>
    <mergeCell ref="J270:K270"/>
    <mergeCell ref="J271:K271"/>
    <mergeCell ref="J272:K272"/>
    <mergeCell ref="J273:K273"/>
    <mergeCell ref="H284:I284"/>
    <mergeCell ref="H285:I285"/>
    <mergeCell ref="H286:I286"/>
    <mergeCell ref="H287:I287"/>
    <mergeCell ref="H288:I288"/>
    <mergeCell ref="H279:I279"/>
    <mergeCell ref="H280:I280"/>
    <mergeCell ref="H281:I281"/>
    <mergeCell ref="H282:I282"/>
    <mergeCell ref="H283:I283"/>
    <mergeCell ref="H274:I274"/>
    <mergeCell ref="H275:I275"/>
    <mergeCell ref="H276:I276"/>
    <mergeCell ref="H277:I277"/>
    <mergeCell ref="H278:I278"/>
    <mergeCell ref="H269:I269"/>
    <mergeCell ref="H270:I270"/>
    <mergeCell ref="H271:I271"/>
    <mergeCell ref="H272:I272"/>
    <mergeCell ref="H273:I273"/>
    <mergeCell ref="F284:G284"/>
    <mergeCell ref="F285:G285"/>
    <mergeCell ref="F286:G286"/>
    <mergeCell ref="F287:G287"/>
    <mergeCell ref="F288:G288"/>
    <mergeCell ref="D294:E294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D289:E289"/>
    <mergeCell ref="D290:E290"/>
    <mergeCell ref="D291:E291"/>
    <mergeCell ref="D284:E284"/>
    <mergeCell ref="D285:E285"/>
    <mergeCell ref="D286:E286"/>
    <mergeCell ref="D287:E287"/>
    <mergeCell ref="D288:E288"/>
    <mergeCell ref="D279:E279"/>
    <mergeCell ref="D280:E280"/>
    <mergeCell ref="D281:E281"/>
    <mergeCell ref="D282:E282"/>
    <mergeCell ref="D283:E283"/>
    <mergeCell ref="D274:E274"/>
    <mergeCell ref="D275:E275"/>
    <mergeCell ref="D276:E276"/>
    <mergeCell ref="D277:E277"/>
    <mergeCell ref="D278:E278"/>
    <mergeCell ref="D269:E269"/>
    <mergeCell ref="D270:E270"/>
    <mergeCell ref="D271:E271"/>
    <mergeCell ref="D272:E272"/>
    <mergeCell ref="D273:E273"/>
    <mergeCell ref="B284:C284"/>
    <mergeCell ref="B285:C285"/>
    <mergeCell ref="B286:C286"/>
    <mergeCell ref="B287:C287"/>
    <mergeCell ref="B288:C288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8:C268"/>
    <mergeCell ref="D268:E268"/>
    <mergeCell ref="F268:G268"/>
    <mergeCell ref="H268:I268"/>
    <mergeCell ref="J268:K268"/>
    <mergeCell ref="B240:C240"/>
    <mergeCell ref="D240:E240"/>
    <mergeCell ref="F240:G240"/>
    <mergeCell ref="H240:I240"/>
    <mergeCell ref="J240:K240"/>
    <mergeCell ref="H99:I99"/>
    <mergeCell ref="J99:K99"/>
    <mergeCell ref="B98:C98"/>
    <mergeCell ref="D98:E98"/>
    <mergeCell ref="F98:G98"/>
    <mergeCell ref="H98:I98"/>
    <mergeCell ref="J98:K98"/>
    <mergeCell ref="D211:E211"/>
    <mergeCell ref="F211:G211"/>
    <mergeCell ref="H211:I211"/>
    <mergeCell ref="J211:K211"/>
    <mergeCell ref="B211:C211"/>
    <mergeCell ref="A136:B136"/>
    <mergeCell ref="A154:B154"/>
    <mergeCell ref="B99:C99"/>
    <mergeCell ref="D99:E99"/>
    <mergeCell ref="F99:G99"/>
    <mergeCell ref="B198:D198"/>
    <mergeCell ref="B199:D199"/>
    <mergeCell ref="B200:D200"/>
    <mergeCell ref="B201:D201"/>
    <mergeCell ref="B202:D202"/>
    <mergeCell ref="B203:D203"/>
    <mergeCell ref="A198:A199"/>
    <mergeCell ref="J95:K95"/>
    <mergeCell ref="H95:I95"/>
    <mergeCell ref="J84:K84"/>
    <mergeCell ref="H84:I84"/>
    <mergeCell ref="J45:K45"/>
    <mergeCell ref="H45:I45"/>
    <mergeCell ref="B95:C95"/>
    <mergeCell ref="D95:E95"/>
    <mergeCell ref="F95:G95"/>
    <mergeCell ref="A204:A205"/>
    <mergeCell ref="B204:D204"/>
    <mergeCell ref="B205:D205"/>
    <mergeCell ref="A206:A207"/>
    <mergeCell ref="B206:D206"/>
    <mergeCell ref="B207:D207"/>
    <mergeCell ref="B45:C45"/>
    <mergeCell ref="D45:E45"/>
    <mergeCell ref="F45:G45"/>
    <mergeCell ref="B84:C84"/>
    <mergeCell ref="D84:E84"/>
    <mergeCell ref="F84:G84"/>
    <mergeCell ref="A200:A201"/>
    <mergeCell ref="A202:A203"/>
  </mergeCells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51C26ED-17CC-478C-BABE-2CE8C2F925BA}">
            <xm:f>Request!$F$162&lt;&gt;$A$91</xm:f>
            <x14:dxf/>
          </x14:cfRule>
          <xm:sqref>M175:O175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70"/>
  <sheetViews>
    <sheetView tabSelected="1" workbookViewId="0">
      <selection activeCell="A73" sqref="A73"/>
    </sheetView>
  </sheetViews>
  <sheetFormatPr baseColWidth="10" defaultColWidth="8.83203125" defaultRowHeight="12" x14ac:dyDescent="0"/>
  <cols>
    <col min="1" max="1" width="3" style="41" customWidth="1"/>
    <col min="2" max="2" width="9.6640625" style="41" customWidth="1"/>
    <col min="3" max="3" width="11.1640625" style="41" customWidth="1"/>
    <col min="4" max="4" width="7" style="41" customWidth="1"/>
    <col min="5" max="5" width="9" style="41" customWidth="1"/>
    <col min="6" max="7" width="5.6640625" style="41" customWidth="1"/>
    <col min="8" max="8" width="5.5" style="41" customWidth="1"/>
    <col min="9" max="9" width="5" style="41" customWidth="1"/>
    <col min="10" max="10" width="4.83203125" style="41" customWidth="1"/>
    <col min="11" max="11" width="4.83203125" style="41" bestFit="1" customWidth="1"/>
    <col min="12" max="12" width="5.33203125" style="41" customWidth="1"/>
    <col min="13" max="13" width="4.6640625" style="41" customWidth="1"/>
    <col min="14" max="14" width="9.83203125" style="41" customWidth="1"/>
    <col min="15" max="15" width="9.5" style="41" customWidth="1"/>
    <col min="16" max="16" width="10" style="41" bestFit="1" customWidth="1"/>
    <col min="17" max="17" width="10" style="41" customWidth="1"/>
    <col min="18" max="18" width="9.6640625" style="41" customWidth="1"/>
    <col min="19" max="19" width="10.33203125" style="41" customWidth="1"/>
    <col min="20" max="20" width="10" style="41" bestFit="1" customWidth="1"/>
    <col min="21" max="21" width="10.33203125" style="41" bestFit="1" customWidth="1"/>
    <col min="22" max="16384" width="8.83203125" style="41"/>
  </cols>
  <sheetData>
    <row r="1" spans="1:24" ht="13.25" customHeight="1">
      <c r="A1" s="198"/>
      <c r="B1" s="196" t="s">
        <v>1</v>
      </c>
      <c r="C1" s="51">
        <v>42248</v>
      </c>
      <c r="D1" s="234" t="s">
        <v>8</v>
      </c>
      <c r="E1" s="235"/>
      <c r="F1" s="231" t="s">
        <v>195</v>
      </c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3"/>
    </row>
    <row r="2" spans="1:24" ht="13.25" customHeight="1">
      <c r="A2" s="74"/>
      <c r="B2" s="197" t="s">
        <v>2</v>
      </c>
      <c r="C2" s="51">
        <v>43343</v>
      </c>
      <c r="D2" s="234" t="s">
        <v>9</v>
      </c>
      <c r="E2" s="235"/>
      <c r="F2" s="231" t="s">
        <v>194</v>
      </c>
      <c r="G2" s="232"/>
      <c r="H2" s="232"/>
      <c r="I2" s="232"/>
      <c r="J2" s="232"/>
      <c r="K2" s="232"/>
      <c r="L2" s="232"/>
      <c r="M2" s="233"/>
      <c r="N2" s="52" t="str">
        <f>IF(Worksheet!C5=1,Worksheet!C5&amp;" Month",Worksheet!C5&amp;" Months")</f>
        <v>12 Months</v>
      </c>
      <c r="O2" s="52" t="str">
        <f>IF(Worksheet!D5=1,Worksheet!D5&amp;" Month",Worksheet!D5&amp;" Months")</f>
        <v>12 Months</v>
      </c>
      <c r="P2" s="52" t="str">
        <f>IF(Worksheet!E5=1,Worksheet!E5&amp;" Month",Worksheet!E5&amp;" Months")</f>
        <v>12 Months</v>
      </c>
      <c r="Q2" s="52" t="str">
        <f>IF(Worksheet!F5=1,Worksheet!F5&amp;" Month",Worksheet!F5&amp;" Months")</f>
        <v>0 Months</v>
      </c>
      <c r="R2" s="52" t="str">
        <f>IF(Worksheet!G5=1,Worksheet!G5&amp;" Month",Worksheet!G5&amp;" Months")</f>
        <v>0 Months</v>
      </c>
      <c r="S2" s="52" t="str">
        <f>IF(Worksheet!B5=1,Worksheet!B5&amp;" Month",Worksheet!B5&amp;" Months")</f>
        <v>36 Months</v>
      </c>
    </row>
    <row r="3" spans="1:24" ht="5" customHeight="1" thickBot="1">
      <c r="C3" s="53"/>
    </row>
    <row r="4" spans="1:24" ht="14.5" customHeight="1" thickBot="1">
      <c r="A4" s="236" t="s">
        <v>4</v>
      </c>
      <c r="B4" s="237"/>
      <c r="C4" s="237"/>
      <c r="D4" s="237"/>
      <c r="E4" s="237"/>
      <c r="F4" s="237"/>
      <c r="G4" s="237"/>
      <c r="H4" s="237"/>
      <c r="I4" s="237"/>
      <c r="J4" s="238"/>
      <c r="K4" s="242" t="s">
        <v>69</v>
      </c>
      <c r="L4" s="243"/>
      <c r="M4" s="244"/>
      <c r="N4" s="55"/>
      <c r="O4" s="54"/>
      <c r="P4" s="265" t="s">
        <v>59</v>
      </c>
      <c r="Q4" s="265"/>
      <c r="R4" s="98" t="s">
        <v>187</v>
      </c>
      <c r="S4" s="207">
        <v>0.03</v>
      </c>
    </row>
    <row r="5" spans="1:24">
      <c r="A5" s="239"/>
      <c r="B5" s="240"/>
      <c r="C5" s="240"/>
      <c r="D5" s="240"/>
      <c r="E5" s="240"/>
      <c r="F5" s="240"/>
      <c r="G5" s="240"/>
      <c r="H5" s="240"/>
      <c r="I5" s="240"/>
      <c r="J5" s="241"/>
      <c r="K5" s="245"/>
      <c r="L5" s="246"/>
      <c r="M5" s="247"/>
      <c r="N5" s="57" t="s">
        <v>168</v>
      </c>
      <c r="O5" s="57" t="s">
        <v>169</v>
      </c>
      <c r="P5" s="57" t="s">
        <v>170</v>
      </c>
      <c r="Q5" s="57" t="s">
        <v>174</v>
      </c>
      <c r="R5" s="57" t="s">
        <v>171</v>
      </c>
      <c r="S5" s="206" t="s">
        <v>14</v>
      </c>
    </row>
    <row r="6" spans="1:24" ht="24">
      <c r="A6" s="195"/>
      <c r="B6" s="56" t="s">
        <v>173</v>
      </c>
      <c r="C6" s="56"/>
      <c r="D6" s="187"/>
      <c r="E6" s="188" t="s">
        <v>172</v>
      </c>
      <c r="F6" s="270" t="s">
        <v>67</v>
      </c>
      <c r="G6" s="271"/>
      <c r="H6" s="271"/>
      <c r="I6" s="271"/>
      <c r="J6" s="271"/>
      <c r="K6" s="27" t="s">
        <v>15</v>
      </c>
      <c r="L6" s="26" t="s">
        <v>68</v>
      </c>
      <c r="M6" s="169" t="s">
        <v>167</v>
      </c>
      <c r="N6" s="186" t="str">
        <f>TEXT(Worksheet!C2,"m/d/yy")&amp;"-"&amp;TEXT(Worksheet!C3,"m/d/yy")</f>
        <v>9/1/15-8/31/16</v>
      </c>
      <c r="O6" s="186" t="str">
        <f>TEXT(Worksheet!D2,"m/d/yy")&amp;"-"&amp;TEXT(Worksheet!D3,"m/d/yy")</f>
        <v>9/1/16-8/31/17</v>
      </c>
      <c r="P6" s="186" t="str">
        <f>TEXT(Worksheet!E2,"m/d/yy")&amp;"-"&amp;TEXT(Worksheet!E3,"m/d/yy")</f>
        <v>9/1/17-8/31/18</v>
      </c>
      <c r="Q6" s="186" t="str">
        <f>TEXT(Worksheet!F2,"m/d/yy")&amp;"-"&amp;TEXT(Worksheet!F3,"m/d/yy")</f>
        <v>-</v>
      </c>
      <c r="R6" s="186" t="str">
        <f>TEXT(Worksheet!G2,"m/d/yy")&amp;"-"&amp;TEXT(Worksheet!G3,"m/d/yy")</f>
        <v>-</v>
      </c>
      <c r="S6" s="186" t="str">
        <f>TEXT(Worksheet!B2,"m/d/yy")&amp;"-"&amp;TEXT(Worksheet!B3,"m/d/yy")</f>
        <v>9/1/15-8/31/18</v>
      </c>
    </row>
    <row r="7" spans="1:24">
      <c r="A7" s="162">
        <v>1</v>
      </c>
      <c r="B7" s="257" t="s">
        <v>190</v>
      </c>
      <c r="C7" s="257"/>
      <c r="D7" s="258"/>
      <c r="E7" s="183">
        <v>165709.09</v>
      </c>
      <c r="F7" s="105">
        <v>0.04</v>
      </c>
      <c r="G7" s="105">
        <v>0.04</v>
      </c>
      <c r="H7" s="105">
        <v>0.04</v>
      </c>
      <c r="I7" s="105"/>
      <c r="J7" s="105"/>
      <c r="K7" s="58"/>
      <c r="L7" s="58"/>
      <c r="M7" s="163">
        <v>0.03</v>
      </c>
      <c r="N7" s="80">
        <f ca="1">IF(AND($S$4="Multi",$R$4="FY"),ROUND(((1+$M7)^Worksheet!$B$20*Worksheet!$C$9+(1+$M7)^(Worksheet!$B$20+1)*Worksheet!$C$10)/12*Request!$E7*Request!$F7,0),(IF(AND($S$4="Multi",$R$4="PY"),ROUND($E7*$F7/12*Worksheet!$C$5,0),(IF(AND($S$4&lt;&gt;"Multi",$R$4="FY"),ROUND(((1+$S$4)^Worksheet!$B$20*Worksheet!$C$9+(1+$S$4)^(Worksheet!$B$20+1)*Worksheet!$C$10)/12*Request!$E7*Request!$F7,0),ROUND($E7*$F7/12*Worksheet!$C$5,0))))))</f>
        <v>6861</v>
      </c>
      <c r="O7" s="80">
        <f ca="1">IF(AND($S$4="Multi",$R$4="FY"),ROUND(((1+$M7)^(Worksheet!$B$20+1)*Worksheet!$D$9+(1+$M7)^(Worksheet!$B$20+2)*Worksheet!$D$10)/12*Request!$E7*Request!$G7,0),(IF(AND($S$4="Multi",$R$4="PY"),ROUND($E7*$G7*(1+M7)/12*Worksheet!$D$5,0),(IF(AND($S$4&lt;&gt;"Multi",$R$4="FY"),ROUND(((1+$S$4)^(Worksheet!$B$20+1)*Worksheet!$D$9+(1+$S$4)^(Worksheet!$B$20+2)*Worksheet!$D$10)/12*Request!$E7*Request!$G7,0),ROUND($E7*$G7*(1+$S$4)/12*Worksheet!$D$5,0))))))</f>
        <v>7067</v>
      </c>
      <c r="P7" s="80">
        <f ca="1">IF(AND($S$4="Multi",$R$4="FY"),ROUND(((1+$M7)^(Worksheet!$B$20+2)*Worksheet!$E$9+(1+$M7)^(Worksheet!$B$20+3)*Worksheet!$E$10)/12*Request!$E7*Request!H7,0),(IF(AND($S$4="Multi",$R$4="PY"),ROUND($E7*H7*((1+$M7)^2)/12*Worksheet!$E$5,0),(IF(AND($S$4&lt;&gt;"Multi",$R$4="FY"),ROUND(((1+$S$4)^(Worksheet!$B$20+2)*Worksheet!$E$9+(1+$S$4)^(Worksheet!$B$20+3)*Worksheet!$E$10)/12*Request!$E7*Request!H7,0),ROUND($E7*H7*((1+$S$4)^2)/12*Worksheet!$E$5,0))))))</f>
        <v>7279</v>
      </c>
      <c r="Q7" s="80">
        <f ca="1">IF(AND($S$4="Multi",$R$4="FY"),ROUND(((1+$M7)^(Worksheet!$B$20+3)*Worksheet!$F$9+(1+$M7)^(Worksheet!$B$20+4)*Worksheet!$F$10)/12*Request!$E7*Request!$I7,0),(IF(AND($S$4="Multi",$R$4="PY"),ROUND($E7*$I7*((1+$M7)^3)/12*Worksheet!$F$5,0),(IF(AND($S$4&lt;&gt;"Multi",$R$4="FY"),ROUND(((1+$S$4)^(Worksheet!$B$20+3)*Worksheet!$F$9+(1+$S$4)^(Worksheet!$B$20+4)*Worksheet!$F$10)/12*Request!$E7*Request!$I7,0),ROUND($E7*$I7*((1+$S$4)^3)/12*Worksheet!$F$5,0))))))</f>
        <v>0</v>
      </c>
      <c r="R7" s="80">
        <f ca="1">IF(AND($S$4="Multi",$R$4="FY"),ROUND(((1+$M7)^(Worksheet!$B$20+4)*Worksheet!$G$9+(1+$M7)^(Worksheet!$B$20+5)*Worksheet!$G$10)/12*Request!$E7*Request!$J7,0),(IF(AND($S$4="Multi",$R$4="PY"),ROUND($E7*$J7*((1+$M7)^4)/12*Worksheet!$G$5,0),(IF(AND($S$4&lt;&gt;"Multi",$R$4="FY"),ROUND(((1+$S$4)^(Worksheet!$B$20+4)*Worksheet!$G$9+(1+$S$4)^(Worksheet!$B$20+5)*Worksheet!$G$10)/12*Request!$E7*Request!$J7,0),ROUND($E7*$J7*((1+$S$4)^4)/12*Worksheet!$G$5,0))))))</f>
        <v>0</v>
      </c>
      <c r="S7" s="155">
        <f ca="1">SUM(N7:R7)</f>
        <v>21207</v>
      </c>
      <c r="T7" s="61"/>
      <c r="U7" s="61"/>
      <c r="V7" s="61"/>
      <c r="W7" s="61"/>
      <c r="X7" s="61"/>
    </row>
    <row r="8" spans="1:24">
      <c r="A8" s="162">
        <v>2</v>
      </c>
      <c r="B8" s="257" t="s">
        <v>191</v>
      </c>
      <c r="C8" s="257"/>
      <c r="D8" s="175"/>
      <c r="E8" s="183">
        <v>95020.36</v>
      </c>
      <c r="F8" s="105">
        <v>0.08</v>
      </c>
      <c r="G8" s="105">
        <v>8.3330000000000001E-2</v>
      </c>
      <c r="H8" s="105">
        <v>8.3330000000000001E-2</v>
      </c>
      <c r="I8" s="105"/>
      <c r="J8" s="105"/>
      <c r="K8" s="58"/>
      <c r="L8" s="58"/>
      <c r="M8" s="163">
        <v>0.03</v>
      </c>
      <c r="N8" s="80">
        <f ca="1">IF(AND($S$4="Multi",$R$4="FY"),ROUND(((1+$M8)^Worksheet!$B$20*Worksheet!$C$9+(1+$M8)^(Worksheet!$B$20+1)*Worksheet!$C$10)/12*Request!$E8*Request!$F8,0),(IF(AND($S$4="Multi",$R$4="PY"),ROUND(E8*F8/12*Worksheet!$C$5,0),(IF(AND($S$4&lt;&gt;"Multi",$R$4="FY"),ROUND(((1+$S$4)^Worksheet!$B$20*Worksheet!$C$9+(1+$S$4)^(Worksheet!$B$20+1)*Worksheet!$C$10)/12*Request!$E8*Request!$F8,0),ROUND($E8*$F8/12*Worksheet!$C$5,0))))))</f>
        <v>7869</v>
      </c>
      <c r="O8" s="80">
        <f ca="1">IF(AND($S$4="Multi",$R$4="FY"),ROUND(((1+$M8)^(Worksheet!$B$20+1)*Worksheet!$D$9+(1+$M8)^(Worksheet!$B$20+2)*Worksheet!$D$10)/12*Request!$E8*Request!$G8,0),(IF(AND($S$4="Multi",$R$4="PY"),ROUND($E8*$G8*(1+M8)/12*Worksheet!$D$5,0),(IF(AND($S$4&lt;&gt;"Multi",$R$4="FY"),ROUND(((1+$S$4)^(Worksheet!$B$20+1)*Worksheet!$D$9+(1+$S$4)^(Worksheet!$B$20+2)*Worksheet!$D$10)/12*Request!$E8*Request!$G8,0),ROUND($E8*$G8*(1+$S$4)/12*Worksheet!$D$5,0))))))</f>
        <v>8442</v>
      </c>
      <c r="P8" s="80">
        <f ca="1">IF(AND($S$4="Multi",$R$4="FY"),ROUND(((1+$M8)^(Worksheet!$B$20+2)*Worksheet!$E$9+(1+$M8)^(Worksheet!$B$20+3)*Worksheet!$E$10)/12*Request!$E8*Request!H8,0),(IF(AND($S$4="Multi",$R$4="PY"),ROUND($E8*H8*((1+$M8)^2)/12*Worksheet!$E$5,0),(IF(AND($S$4&lt;&gt;"Multi",$R$4="FY"),ROUND(((1+$S$4)^(Worksheet!$B$20+2)*Worksheet!$E$9+(1+$S$4)^(Worksheet!$B$20+3)*Worksheet!$E$10)/12*Request!$E8*Request!H8,0),ROUND($E8*H8*((1+$S$4)^2)/12*Worksheet!$E$5,0))))))</f>
        <v>8696</v>
      </c>
      <c r="Q8" s="80">
        <f ca="1">IF(AND($S$4="Multi",$R$4="FY"),ROUND(((1+$M8)^(Worksheet!$B$20+3)*Worksheet!$F$9+(1+$M8)^(Worksheet!$B$20+4)*Worksheet!$F$10)/12*Request!$E8*Request!$I8,0),(IF(AND($S$4="Multi",$R$4="PY"),ROUND($E8*$I8*((1+$M8)^3)/12*Worksheet!$F$5,0),(IF(AND($S$4&lt;&gt;"Multi",$R$4="FY"),ROUND(((1+$S$4)^(Worksheet!$B$20+3)*Worksheet!$F$9+(1+$S$4)^(Worksheet!$B$20+4)*Worksheet!$F$10)/12*Request!$E8*Request!$I8,0),ROUND($E8*$I8*((1+$S$4)^3)/12*Worksheet!$F$5,0))))))</f>
        <v>0</v>
      </c>
      <c r="R8" s="80">
        <f ca="1">IF(AND($S$4="Multi",$R$4="FY"),ROUND(((1+$M8)^(Worksheet!$B$20+4)*Worksheet!$G$9+(1+$M8)^(Worksheet!$B$20+5)*Worksheet!$G$10)/12*Request!$E8*Request!$J8,0),(IF(AND($S$4="Multi",$R$4="PY"),ROUND($E8*$J8*((1+$M8)^4)/12*Worksheet!$G$5,0),(IF(AND($S$4&lt;&gt;"Multi",$R$4="FY"),ROUND(((1+$S$4)^(Worksheet!$B$20+4)*Worksheet!$G$9+(1+$S$4)^(Worksheet!$B$20+5)*Worksheet!$G$10)/12*Request!$E8*Request!$J8,0),ROUND($E8*$J8*((1+$S$4)^4)/12*Worksheet!$G$5,0))))))</f>
        <v>0</v>
      </c>
      <c r="S8" s="155">
        <f t="shared" ref="S8:S30" ca="1" si="0">SUM(N8:R8)</f>
        <v>25007</v>
      </c>
      <c r="T8" s="61"/>
      <c r="U8" s="61"/>
      <c r="V8" s="61"/>
      <c r="W8" s="61"/>
      <c r="X8" s="61"/>
    </row>
    <row r="9" spans="1:24">
      <c r="A9" s="162">
        <v>3</v>
      </c>
      <c r="B9" s="257" t="s">
        <v>192</v>
      </c>
      <c r="C9" s="257"/>
      <c r="D9" s="258"/>
      <c r="E9" s="183">
        <v>45300</v>
      </c>
      <c r="F9" s="105">
        <v>0.61192999999999997</v>
      </c>
      <c r="G9" s="105">
        <v>0.61192999999999997</v>
      </c>
      <c r="H9" s="105">
        <v>0.61192999999999997</v>
      </c>
      <c r="I9" s="105"/>
      <c r="J9" s="105"/>
      <c r="K9" s="58"/>
      <c r="L9" s="58"/>
      <c r="M9" s="163">
        <v>0.03</v>
      </c>
      <c r="N9" s="80">
        <f ca="1">IF(AND($S$4="Multi",$R$4="FY"),ROUND(((1+$M9)^Worksheet!$B$20*Worksheet!$C$9+(1+$M9)^(Worksheet!$B$20+1)*Worksheet!$C$10)/12*Request!$E9*Request!$F9,0),(IF(AND($S$4="Multi",$R$4="PY"),ROUND(E9*F9/12*Worksheet!$C$5,0),(IF(AND($S$4&lt;&gt;"Multi",$R$4="FY"),ROUND(((1+$S$4)^Worksheet!$B$20*Worksheet!$C$9+(1+$S$4)^(Worksheet!$B$20+1)*Worksheet!$C$10)/12*Request!$E9*Request!$F9,0),ROUND($E9*$F9/12*Worksheet!$C$5,0))))))</f>
        <v>28695</v>
      </c>
      <c r="O9" s="80">
        <f ca="1">IF(AND($S$4="Multi",$R$4="FY"),ROUND(((1+$M9)^(Worksheet!$B$20+1)*Worksheet!$D$9+(1+$M9)^(Worksheet!$B$20+2)*Worksheet!$D$10)/12*Request!$E9*Request!$G9,0),(IF(AND($S$4="Multi",$R$4="PY"),ROUND($E9*$G9*(1+M9)/12*Worksheet!$D$5,0),(IF(AND($S$4&lt;&gt;"Multi",$R$4="FY"),ROUND(((1+$S$4)^(Worksheet!$B$20+1)*Worksheet!$D$9+(1+$S$4)^(Worksheet!$B$20+2)*Worksheet!$D$10)/12*Request!$E9*Request!$G9,0),ROUND($E9*$G9*(1+$S$4)/12*Worksheet!$D$5,0))))))</f>
        <v>29556</v>
      </c>
      <c r="P9" s="80">
        <f ca="1">IF(AND($S$4="Multi",$R$4="FY"),ROUND(((1+$M9)^(Worksheet!$B$20+2)*Worksheet!$E$9+(1+$M9)^(Worksheet!$B$20+3)*Worksheet!$E$10)/12*Request!$E9*Request!H9,0),(IF(AND($S$4="Multi",$R$4="PY"),ROUND($E9*H9*((1+$M9)^2)/12*Worksheet!$E$5,0),(IF(AND($S$4&lt;&gt;"Multi",$R$4="FY"),ROUND(((1+$S$4)^(Worksheet!$B$20+2)*Worksheet!$E$9+(1+$S$4)^(Worksheet!$B$20+3)*Worksheet!$E$10)/12*Request!$E9*Request!H9,0),ROUND($E9*H9*((1+$S$4)^2)/12*Worksheet!$E$5,0))))))</f>
        <v>30442</v>
      </c>
      <c r="Q9" s="80">
        <f ca="1">IF(AND($S$4="Multi",$R$4="FY"),ROUND(((1+$M9)^(Worksheet!$B$20+3)*Worksheet!$F$9+(1+$M9)^(Worksheet!$B$20+4)*Worksheet!$F$10)/12*Request!$E9*Request!$I9,0),(IF(AND($S$4="Multi",$R$4="PY"),ROUND($E9*$I9*((1+$M9)^3)/12*Worksheet!$F$5,0),(IF(AND($S$4&lt;&gt;"Multi",$R$4="FY"),ROUND(((1+$S$4)^(Worksheet!$B$20+3)*Worksheet!$F$9+(1+$S$4)^(Worksheet!$B$20+4)*Worksheet!$F$10)/12*Request!$E9*Request!$I9,0),ROUND($E9*$I9*((1+$S$4)^3)/12*Worksheet!$F$5,0))))))</f>
        <v>0</v>
      </c>
      <c r="R9" s="80">
        <f ca="1">IF(AND($S$4="Multi",$R$4="FY"),ROUND(((1+$M9)^(Worksheet!$B$20+4)*Worksheet!$G$9+(1+$M9)^(Worksheet!$B$20+5)*Worksheet!$G$10)/12*Request!$E9*Request!$J9,0),(IF(AND($S$4="Multi",$R$4="PY"),ROUND($E9*$J9*((1+$M9)^4)/12*Worksheet!$G$5,0),(IF(AND($S$4&lt;&gt;"Multi",$R$4="FY"),ROUND(((1+$S$4)^(Worksheet!$B$20+4)*Worksheet!$G$9+(1+$S$4)^(Worksheet!$B$20+5)*Worksheet!$G$10)/12*Request!$E9*Request!$J9,0),ROUND($E9*$J9*((1+$S$4)^4)/12*Worksheet!$G$5,0))))))</f>
        <v>0</v>
      </c>
      <c r="S9" s="155">
        <f t="shared" ca="1" si="0"/>
        <v>88693</v>
      </c>
      <c r="T9" s="61"/>
      <c r="U9" s="61"/>
      <c r="V9" s="61"/>
      <c r="W9" s="61"/>
      <c r="X9" s="61"/>
    </row>
    <row r="10" spans="1:24">
      <c r="A10" s="162">
        <v>4</v>
      </c>
      <c r="B10" s="257" t="s">
        <v>192</v>
      </c>
      <c r="C10" s="257"/>
      <c r="D10" s="258"/>
      <c r="E10" s="183">
        <v>45300</v>
      </c>
      <c r="F10" s="105">
        <v>0.61192999999999997</v>
      </c>
      <c r="G10" s="105">
        <v>0.61192999999999997</v>
      </c>
      <c r="H10" s="105">
        <v>0.61192999999999997</v>
      </c>
      <c r="I10" s="105"/>
      <c r="J10" s="105"/>
      <c r="K10" s="58"/>
      <c r="L10" s="58"/>
      <c r="M10" s="163">
        <v>0.03</v>
      </c>
      <c r="N10" s="80">
        <f ca="1">IF(AND($S$4="Multi",$R$4="FY"),ROUND(((1+$M10)^Worksheet!$B$20*Worksheet!$C$9+(1+$M10)^(Worksheet!$B$20+1)*Worksheet!$C$10)/12*Request!$E10*Request!$F10,0),(IF(AND($S$4="Multi",$R$4="PY"),ROUND(E10*F10/12*Worksheet!$C$5,0),(IF(AND($S$4&lt;&gt;"Multi",$R$4="FY"),ROUND(((1+$S$4)^Worksheet!$B$20*Worksheet!$C$9+(1+$S$4)^(Worksheet!$B$20+1)*Worksheet!$C$10)/12*Request!$E10*Request!$F10,0),ROUND($E10*$F10/12*Worksheet!$C$5,0))))))</f>
        <v>28695</v>
      </c>
      <c r="O10" s="80">
        <f ca="1">IF(AND($S$4="Multi",$R$4="FY"),ROUND(((1+$M10)^(Worksheet!$B$20+1)*Worksheet!$D$9+(1+$M10)^(Worksheet!$B$20+2)*Worksheet!$D$10)/12*Request!$E10*Request!$G10,0),(IF(AND($S$4="Multi",$R$4="PY"),ROUND($E10*$G10*(1+M10)/12*Worksheet!$D$5,0),(IF(AND($S$4&lt;&gt;"Multi",$R$4="FY"),ROUND(((1+$S$4)^(Worksheet!$B$20+1)*Worksheet!$D$9+(1+$S$4)^(Worksheet!$B$20+2)*Worksheet!$D$10)/12*Request!$E10*Request!$G10,0),ROUND($E10*$G10*(1+$S$4)/12*Worksheet!$D$5,0))))))</f>
        <v>29556</v>
      </c>
      <c r="P10" s="80">
        <f ca="1">IF(AND($S$4="Multi",$R$4="FY"),ROUND(((1+$M10)^(Worksheet!$B$20+2)*Worksheet!$E$9+(1+$M10)^(Worksheet!$B$20+3)*Worksheet!$E$10)/12*Request!$E10*Request!H10,0),(IF(AND($S$4="Multi",$R$4="PY"),ROUND($E10*H10*((1+$M10)^2)/12*Worksheet!$E$5,0),(IF(AND($S$4&lt;&gt;"Multi",$R$4="FY"),ROUND(((1+$S$4)^(Worksheet!$B$20+2)*Worksheet!$E$9+(1+$S$4)^(Worksheet!$B$20+3)*Worksheet!$E$10)/12*Request!$E10*Request!H10,0),ROUND($E10*H10*((1+$S$4)^2)/12*Worksheet!$E$5,0))))))</f>
        <v>30442</v>
      </c>
      <c r="Q10" s="80">
        <f ca="1">IF(AND($S$4="Multi",$R$4="FY"),ROUND(((1+$M10)^(Worksheet!$B$20+3)*Worksheet!$F$9+(1+$M10)^(Worksheet!$B$20+4)*Worksheet!$F$10)/12*Request!$E10*Request!$I10,0),(IF(AND($S$4="Multi",$R$4="PY"),ROUND($E10*$I10*((1+$M10)^3)/12*Worksheet!$F$5,0),(IF(AND($S$4&lt;&gt;"Multi",$R$4="FY"),ROUND(((1+$S$4)^(Worksheet!$B$20+3)*Worksheet!$F$9+(1+$S$4)^(Worksheet!$B$20+4)*Worksheet!$F$10)/12*Request!$E10*Request!$I10,0),ROUND($E10*$I10*((1+$S$4)^3)/12*Worksheet!$F$5,0))))))</f>
        <v>0</v>
      </c>
      <c r="R10" s="80">
        <f ca="1">IF(AND($S$4="Multi",$R$4="FY"),ROUND(((1+$M10)^(Worksheet!$B$20+4)*Worksheet!$G$9+(1+$M10)^(Worksheet!$B$20+5)*Worksheet!$G$10)/12*Request!$E10*Request!$J10,0),(IF(AND($S$4="Multi",$R$4="PY"),ROUND($E10*$J10*((1+$M10)^4)/12*Worksheet!$G$5,0),(IF(AND($S$4&lt;&gt;"Multi",$R$4="FY"),ROUND(((1+$S$4)^(Worksheet!$B$20+4)*Worksheet!$G$9+(1+$S$4)^(Worksheet!$B$20+5)*Worksheet!$G$10)/12*Request!$E10*Request!$J10,0),ROUND($E10*$J10*((1+$S$4)^4)/12*Worksheet!$G$5,0))))))</f>
        <v>0</v>
      </c>
      <c r="S10" s="155">
        <f t="shared" ca="1" si="0"/>
        <v>88693</v>
      </c>
      <c r="T10" s="61"/>
      <c r="U10" s="61"/>
      <c r="V10" s="61"/>
      <c r="W10" s="61"/>
      <c r="X10" s="61"/>
    </row>
    <row r="11" spans="1:24">
      <c r="A11" s="162">
        <v>5</v>
      </c>
      <c r="B11" s="257"/>
      <c r="C11" s="257"/>
      <c r="D11" s="258"/>
      <c r="E11" s="183"/>
      <c r="F11" s="105"/>
      <c r="G11" s="105"/>
      <c r="H11" s="105"/>
      <c r="I11" s="105"/>
      <c r="J11" s="105"/>
      <c r="K11" s="58"/>
      <c r="L11" s="58"/>
      <c r="M11" s="163">
        <v>0.03</v>
      </c>
      <c r="N11" s="80">
        <f ca="1">IF(AND($S$4="Multi",$R$4="FY"),ROUND(((1+$M11)^Worksheet!$B$20*Worksheet!$C$9+(1+$M11)^(Worksheet!$B$20+1)*Worksheet!$C$10)/12*Request!$E11*Request!$F11,0),(IF(AND($S$4="Multi",$R$4="PY"),ROUND(E11*F11/12*Worksheet!$C$5,0),(IF(AND($S$4&lt;&gt;"Multi",$R$4="FY"),ROUND(((1+$S$4)^Worksheet!$B$20*Worksheet!$C$9+(1+$S$4)^(Worksheet!$B$20+1)*Worksheet!$C$10)/12*Request!$E11*Request!$F11,0),ROUND($E11*$F11/12*Worksheet!$C$5,0))))))</f>
        <v>0</v>
      </c>
      <c r="O11" s="80">
        <f ca="1">IF(AND($S$4="Multi",$R$4="FY"),ROUND(((1+$M11)^(Worksheet!$B$20+1)*Worksheet!$D$9+(1+$M11)^(Worksheet!$B$20+2)*Worksheet!$D$10)/12*Request!$E11*Request!$G11,0),(IF(AND($S$4="Multi",$R$4="PY"),ROUND($E11*$G11*(1+M11)/12*Worksheet!$D$5,0),(IF(AND($S$4&lt;&gt;"Multi",$R$4="FY"),ROUND(((1+$S$4)^(Worksheet!$B$20+1)*Worksheet!$D$9+(1+$S$4)^(Worksheet!$B$20+2)*Worksheet!$D$10)/12*Request!$E11*Request!$G11,0),ROUND($E11*$G11*(1+$S$4)/12*Worksheet!$D$5,0))))))</f>
        <v>0</v>
      </c>
      <c r="P11" s="80">
        <f ca="1">IF(AND($S$4="Multi",$R$4="FY"),ROUND(((1+$M11)^(Worksheet!$B$20+2)*Worksheet!$E$9+(1+$M11)^(Worksheet!$B$20+3)*Worksheet!$E$10)/12*Request!$E11*Request!H11,0),(IF(AND($S$4="Multi",$R$4="PY"),ROUND($E11*H11*((1+$M11)^2)/12*Worksheet!$E$5,0),(IF(AND($S$4&lt;&gt;"Multi",$R$4="FY"),ROUND(((1+$S$4)^(Worksheet!$B$20+2)*Worksheet!$E$9+(1+$S$4)^(Worksheet!$B$20+3)*Worksheet!$E$10)/12*Request!$E11*Request!H11,0),ROUND($E11*H11*((1+$S$4)^2)/12*Worksheet!$E$5,0))))))</f>
        <v>0</v>
      </c>
      <c r="Q11" s="80">
        <f ca="1">IF(AND($S$4="Multi",$R$4="FY"),ROUND(((1+$M11)^(Worksheet!$B$20+3)*Worksheet!$F$9+(1+$M11)^(Worksheet!$B$20+4)*Worksheet!$F$10)/12*Request!$E11*Request!$I11,0),(IF(AND($S$4="Multi",$R$4="PY"),ROUND($E11*$I11*((1+$M11)^3)/12*Worksheet!$F$5,0),(IF(AND($S$4&lt;&gt;"Multi",$R$4="FY"),ROUND(((1+$S$4)^(Worksheet!$B$20+3)*Worksheet!$F$9+(1+$S$4)^(Worksheet!$B$20+4)*Worksheet!$F$10)/12*Request!$E11*Request!$I11,0),ROUND($E11*$I11*((1+$S$4)^3)/12*Worksheet!$F$5,0))))))</f>
        <v>0</v>
      </c>
      <c r="R11" s="80">
        <f ca="1">IF(AND($S$4="Multi",$R$4="FY"),ROUND(((1+$M11)^(Worksheet!$B$20+4)*Worksheet!$G$9+(1+$M11)^(Worksheet!$B$20+5)*Worksheet!$G$10)/12*Request!$E11*Request!$J11,0),(IF(AND($S$4="Multi",$R$4="PY"),ROUND($E11*$J11*((1+$M11)^4)/12*Worksheet!$G$5,0),(IF(AND($S$4&lt;&gt;"Multi",$R$4="FY"),ROUND(((1+$S$4)^(Worksheet!$B$20+4)*Worksheet!$G$9+(1+$S$4)^(Worksheet!$B$20+5)*Worksheet!$G$10)/12*Request!$E11*Request!$J11,0),ROUND($E11*$J11*((1+$S$4)^4)/12*Worksheet!$G$5,0))))))</f>
        <v>0</v>
      </c>
      <c r="S11" s="155">
        <f t="shared" ca="1" si="0"/>
        <v>0</v>
      </c>
      <c r="T11" s="61"/>
      <c r="U11" s="61"/>
      <c r="V11" s="61"/>
      <c r="W11" s="61"/>
      <c r="X11" s="61"/>
    </row>
    <row r="12" spans="1:24">
      <c r="A12" s="162">
        <v>6</v>
      </c>
      <c r="B12" s="257"/>
      <c r="C12" s="257"/>
      <c r="D12" s="258"/>
      <c r="E12" s="183"/>
      <c r="F12" s="105"/>
      <c r="G12" s="105"/>
      <c r="H12" s="105"/>
      <c r="I12" s="105"/>
      <c r="J12" s="105"/>
      <c r="K12" s="58"/>
      <c r="L12" s="58"/>
      <c r="M12" s="163">
        <v>0.03</v>
      </c>
      <c r="N12" s="80">
        <f ca="1">IF(AND($S$4="Multi",$R$4="FY"),ROUND(((1+$M12)^Worksheet!$B$20*Worksheet!$C$9+(1+$M12)^(Worksheet!$B$20+1)*Worksheet!$C$10)/12*Request!$E12*Request!$F12,0),(IF(AND($S$4="Multi",$R$4="PY"),ROUND(E12*F12/12*Worksheet!$C$5,0),(IF(AND($S$4&lt;&gt;"Multi",$R$4="FY"),ROUND(((1+$S$4)^Worksheet!$B$20*Worksheet!$C$9+(1+$S$4)^(Worksheet!$B$20+1)*Worksheet!$C$10)/12*Request!$E12*Request!$F12,0),ROUND($E12*$F12/12*Worksheet!$C$5,0))))))</f>
        <v>0</v>
      </c>
      <c r="O12" s="80">
        <f ca="1">IF(AND($S$4="Multi",$R$4="FY"),ROUND(((1+$M12)^(Worksheet!$B$20+1)*Worksheet!$D$9+(1+$M12)^(Worksheet!$B$20+2)*Worksheet!$D$10)/12*Request!$E12*Request!$G12,0),(IF(AND($S$4="Multi",$R$4="PY"),ROUND($E12*$G12*(1+M12)/12*Worksheet!$D$5,0),(IF(AND($S$4&lt;&gt;"Multi",$R$4="FY"),ROUND(((1+$S$4)^(Worksheet!$B$20+1)*Worksheet!$D$9+(1+$S$4)^(Worksheet!$B$20+2)*Worksheet!$D$10)/12*Request!$E12*Request!$G12,0),ROUND($E12*$G12*(1+$S$4)/12*Worksheet!$D$5,0))))))</f>
        <v>0</v>
      </c>
      <c r="P12" s="80">
        <f ca="1">IF(AND($S$4="Multi",$R$4="FY"),ROUND(((1+$M12)^(Worksheet!$B$20+2)*Worksheet!$E$9+(1+$M12)^(Worksheet!$B$20+3)*Worksheet!$E$10)/12*Request!$E12*Request!H12,0),(IF(AND($S$4="Multi",$R$4="PY"),ROUND($E12*H12*((1+$M12)^2)/12*Worksheet!$E$5,0),(IF(AND($S$4&lt;&gt;"Multi",$R$4="FY"),ROUND(((1+$S$4)^(Worksheet!$B$20+2)*Worksheet!$E$9+(1+$S$4)^(Worksheet!$B$20+3)*Worksheet!$E$10)/12*Request!$E12*Request!H12,0),ROUND($E12*H12*((1+$S$4)^2)/12*Worksheet!$E$5,0))))))</f>
        <v>0</v>
      </c>
      <c r="Q12" s="80">
        <f ca="1">IF(AND($S$4="Multi",$R$4="FY"),ROUND(((1+$M12)^(Worksheet!$B$20+3)*Worksheet!$F$9+(1+$M12)^(Worksheet!$B$20+4)*Worksheet!$F$10)/12*Request!$E12*Request!$I12,0),(IF(AND($S$4="Multi",$R$4="PY"),ROUND($E12*$I12*((1+$M12)^3)/12*Worksheet!$F$5,0),(IF(AND($S$4&lt;&gt;"Multi",$R$4="FY"),ROUND(((1+$S$4)^(Worksheet!$B$20+3)*Worksheet!$F$9+(1+$S$4)^(Worksheet!$B$20+4)*Worksheet!$F$10)/12*Request!$E12*Request!$I12,0),ROUND($E12*$I12*((1+$S$4)^3)/12*Worksheet!$F$5,0))))))</f>
        <v>0</v>
      </c>
      <c r="R12" s="80">
        <f ca="1">IF(AND($S$4="Multi",$R$4="FY"),ROUND(((1+$M12)^(Worksheet!$B$20+4)*Worksheet!$G$9+(1+$M12)^(Worksheet!$B$20+5)*Worksheet!$G$10)/12*Request!$E12*Request!$J12,0),(IF(AND($S$4="Multi",$R$4="PY"),ROUND($E12*$J12*((1+$M12)^4)/12*Worksheet!$G$5,0),(IF(AND($S$4&lt;&gt;"Multi",$R$4="FY"),ROUND(((1+$S$4)^(Worksheet!$B$20+4)*Worksheet!$G$9+(1+$S$4)^(Worksheet!$B$20+5)*Worksheet!$G$10)/12*Request!$E12*Request!$J12,0),ROUND($E12*$J12*((1+$S$4)^4)/12*Worksheet!$G$5,0))))))</f>
        <v>0</v>
      </c>
      <c r="S12" s="155">
        <f t="shared" ca="1" si="0"/>
        <v>0</v>
      </c>
      <c r="T12" s="61"/>
      <c r="U12" s="61"/>
      <c r="V12" s="61"/>
      <c r="W12" s="61"/>
      <c r="X12" s="61"/>
    </row>
    <row r="13" spans="1:24">
      <c r="A13" s="162">
        <v>7</v>
      </c>
      <c r="B13" s="257"/>
      <c r="C13" s="257"/>
      <c r="D13" s="258"/>
      <c r="E13" s="183"/>
      <c r="F13" s="105"/>
      <c r="G13" s="105"/>
      <c r="H13" s="105"/>
      <c r="I13" s="105"/>
      <c r="J13" s="105"/>
      <c r="K13" s="58"/>
      <c r="L13" s="58"/>
      <c r="M13" s="163">
        <v>0.03</v>
      </c>
      <c r="N13" s="80">
        <f ca="1">IF(AND($S$4="Multi",$R$4="FY"),ROUND(((1+$M13)^Worksheet!$B$20*Worksheet!$C$9+(1+$M13)^(Worksheet!$B$20+1)*Worksheet!$C$10)/12*Request!$E13*Request!$F13,0),(IF(AND($S$4="Multi",$R$4="PY"),ROUND(E13*F13/12*Worksheet!$C$5,0),(IF(AND($S$4&lt;&gt;"Multi",$R$4="FY"),ROUND(((1+$S$4)^Worksheet!$B$20*Worksheet!$C$9+(1+$S$4)^(Worksheet!$B$20+1)*Worksheet!$C$10)/12*Request!$E13*Request!$F13,0),ROUND($E13*$F13/12*Worksheet!$C$5,0))))))</f>
        <v>0</v>
      </c>
      <c r="O13" s="80">
        <f ca="1">IF(AND($S$4="Multi",$R$4="FY"),ROUND(((1+$M13)^(Worksheet!$B$20+1)*Worksheet!$D$9+(1+$M13)^(Worksheet!$B$20+2)*Worksheet!$D$10)/12*Request!$E13*Request!$G13,0),(IF(AND($S$4="Multi",$R$4="PY"),ROUND($E13*$G13*(1+M13)/12*Worksheet!$D$5,0),(IF(AND($S$4&lt;&gt;"Multi",$R$4="FY"),ROUND(((1+$S$4)^(Worksheet!$B$20+1)*Worksheet!$D$9+(1+$S$4)^(Worksheet!$B$20+2)*Worksheet!$D$10)/12*Request!$E13*Request!$G13,0),ROUND($E13*$G13*(1+$S$4)/12*Worksheet!$D$5,0))))))</f>
        <v>0</v>
      </c>
      <c r="P13" s="80">
        <f ca="1">IF(AND($S$4="Multi",$R$4="FY"),ROUND(((1+$M13)^(Worksheet!$B$20+2)*Worksheet!$E$9+(1+$M13)^(Worksheet!$B$20+3)*Worksheet!$E$10)/12*Request!$E13*Request!H13,0),(IF(AND($S$4="Multi",$R$4="PY"),ROUND($E13*H13*((1+$M13)^2)/12*Worksheet!$E$5,0),(IF(AND($S$4&lt;&gt;"Multi",$R$4="FY"),ROUND(((1+$S$4)^(Worksheet!$B$20+2)*Worksheet!$E$9+(1+$S$4)^(Worksheet!$B$20+3)*Worksheet!$E$10)/12*Request!$E13*Request!H13,0),ROUND($E13*H13*((1+$S$4)^2)/12*Worksheet!$E$5,0))))))</f>
        <v>0</v>
      </c>
      <c r="Q13" s="80">
        <f ca="1">IF(AND($S$4="Multi",$R$4="FY"),ROUND(((1+$M13)^(Worksheet!$B$20+3)*Worksheet!$F$9+(1+$M13)^(Worksheet!$B$20+4)*Worksheet!$F$10)/12*Request!$E13*Request!$I13,0),(IF(AND($S$4="Multi",$R$4="PY"),ROUND($E13*$I13*((1+$M13)^3)/12*Worksheet!$F$5,0),(IF(AND($S$4&lt;&gt;"Multi",$R$4="FY"),ROUND(((1+$S$4)^(Worksheet!$B$20+3)*Worksheet!$F$9+(1+$S$4)^(Worksheet!$B$20+4)*Worksheet!$F$10)/12*Request!$E13*Request!$I13,0),ROUND($E13*$I13*((1+$S$4)^3)/12*Worksheet!$F$5,0))))))</f>
        <v>0</v>
      </c>
      <c r="R13" s="80">
        <f ca="1">IF(AND($S$4="Multi",$R$4="FY"),ROUND(((1+$M13)^(Worksheet!$B$20+4)*Worksheet!$G$9+(1+$M13)^(Worksheet!$B$20+5)*Worksheet!$G$10)/12*Request!$E13*Request!$J13,0),(IF(AND($S$4="Multi",$R$4="PY"),ROUND($E13*$J13*((1+$M13)^4)/12*Worksheet!$G$5,0),(IF(AND($S$4&lt;&gt;"Multi",$R$4="FY"),ROUND(((1+$S$4)^(Worksheet!$B$20+4)*Worksheet!$G$9+(1+$S$4)^(Worksheet!$B$20+5)*Worksheet!$G$10)/12*Request!$E13*Request!$J13,0),ROUND($E13*$J13*((1+$S$4)^4)/12*Worksheet!$G$5,0))))))</f>
        <v>0</v>
      </c>
      <c r="S13" s="155">
        <f t="shared" ca="1" si="0"/>
        <v>0</v>
      </c>
      <c r="T13" s="61"/>
      <c r="U13" s="61"/>
      <c r="V13" s="61"/>
      <c r="W13" s="61"/>
      <c r="X13" s="61"/>
    </row>
    <row r="14" spans="1:24">
      <c r="A14" s="162">
        <v>8</v>
      </c>
      <c r="B14" s="257"/>
      <c r="C14" s="257"/>
      <c r="D14" s="258"/>
      <c r="E14" s="183"/>
      <c r="F14" s="105"/>
      <c r="G14" s="105"/>
      <c r="H14" s="105"/>
      <c r="I14" s="105"/>
      <c r="J14" s="105"/>
      <c r="K14" s="58"/>
      <c r="L14" s="58"/>
      <c r="M14" s="163">
        <v>0.03</v>
      </c>
      <c r="N14" s="80">
        <f ca="1">IF(AND($S$4="Multi",$R$4="FY"),ROUND(((1+$M14)^Worksheet!$B$20*Worksheet!$C$9+(1+$M14)^(Worksheet!$B$20+1)*Worksheet!$C$10)/12*Request!$E14*Request!$F14,0),(IF(AND($S$4="Multi",$R$4="PY"),ROUND(E14*F14/12*Worksheet!$C$5,0),(IF(AND($S$4&lt;&gt;"Multi",$R$4="FY"),ROUND(((1+$S$4)^Worksheet!$B$20*Worksheet!$C$9+(1+$S$4)^(Worksheet!$B$20+1)*Worksheet!$C$10)/12*Request!$E14*Request!$F14,0),ROUND($E14*$F14/12*Worksheet!$C$5,0))))))</f>
        <v>0</v>
      </c>
      <c r="O14" s="80">
        <f ca="1">IF(AND($S$4="Multi",$R$4="FY"),ROUND(((1+$M14)^(Worksheet!$B$20+1)*Worksheet!$D$9+(1+$M14)^(Worksheet!$B$20+2)*Worksheet!$D$10)/12*Request!$E14*Request!$G14,0),(IF(AND($S$4="Multi",$R$4="PY"),ROUND($E14*$G14*(1+M14)/12*Worksheet!$D$5,0),(IF(AND($S$4&lt;&gt;"Multi",$R$4="FY"),ROUND(((1+$S$4)^(Worksheet!$B$20+1)*Worksheet!$D$9+(1+$S$4)^(Worksheet!$B$20+2)*Worksheet!$D$10)/12*Request!$E14*Request!$G14,0),ROUND($E14*$G14*(1+$S$4)/12*Worksheet!$D$5,0))))))</f>
        <v>0</v>
      </c>
      <c r="P14" s="80">
        <f ca="1">IF(AND($S$4="Multi",$R$4="FY"),ROUND(((1+$M14)^(Worksheet!$B$20+2)*Worksheet!$E$9+(1+$M14)^(Worksheet!$B$20+3)*Worksheet!$E$10)/12*Request!$E14*Request!H14,0),(IF(AND($S$4="Multi",$R$4="PY"),ROUND($E14*H14*((1+$M14)^2)/12*Worksheet!$E$5,0),(IF(AND($S$4&lt;&gt;"Multi",$R$4="FY"),ROUND(((1+$S$4)^(Worksheet!$B$20+2)*Worksheet!$E$9+(1+$S$4)^(Worksheet!$B$20+3)*Worksheet!$E$10)/12*Request!$E14*Request!H14,0),ROUND($E14*H14*((1+$S$4)^2)/12*Worksheet!$E$5,0))))))</f>
        <v>0</v>
      </c>
      <c r="Q14" s="80">
        <f ca="1">IF(AND($S$4="Multi",$R$4="FY"),ROUND(((1+$M14)^(Worksheet!$B$20+3)*Worksheet!$F$9+(1+$M14)^(Worksheet!$B$20+4)*Worksheet!$F$10)/12*Request!$E14*Request!$I14,0),(IF(AND($S$4="Multi",$R$4="PY"),ROUND($E14*$I14*((1+$M14)^3)/12*Worksheet!$F$5,0),(IF(AND($S$4&lt;&gt;"Multi",$R$4="FY"),ROUND(((1+$S$4)^(Worksheet!$B$20+3)*Worksheet!$F$9+(1+$S$4)^(Worksheet!$B$20+4)*Worksheet!$F$10)/12*Request!$E14*Request!$I14,0),ROUND($E14*$I14*((1+$S$4)^3)/12*Worksheet!$F$5,0))))))</f>
        <v>0</v>
      </c>
      <c r="R14" s="80">
        <f ca="1">IF(AND($S$4="Multi",$R$4="FY"),ROUND(((1+$M14)^(Worksheet!$B$20+4)*Worksheet!$G$9+(1+$M14)^(Worksheet!$B$20+5)*Worksheet!$G$10)/12*Request!$E14*Request!$J14,0),(IF(AND($S$4="Multi",$R$4="PY"),ROUND($E14*$J14*((1+$M14)^4)/12*Worksheet!$G$5,0),(IF(AND($S$4&lt;&gt;"Multi",$R$4="FY"),ROUND(((1+$S$4)^(Worksheet!$B$20+4)*Worksheet!$G$9+(1+$S$4)^(Worksheet!$B$20+5)*Worksheet!$G$10)/12*Request!$E14*Request!$J14,0),ROUND($E14*$J14*((1+$S$4)^4)/12*Worksheet!$G$5,0))))))</f>
        <v>0</v>
      </c>
      <c r="S14" s="155">
        <f t="shared" ca="1" si="0"/>
        <v>0</v>
      </c>
      <c r="T14" s="61"/>
      <c r="U14" s="61"/>
      <c r="V14" s="61"/>
      <c r="W14" s="61"/>
      <c r="X14" s="61"/>
    </row>
    <row r="15" spans="1:24" hidden="1">
      <c r="A15" s="162">
        <v>9</v>
      </c>
      <c r="B15" s="257"/>
      <c r="C15" s="257"/>
      <c r="D15" s="258"/>
      <c r="E15" s="183"/>
      <c r="F15" s="105"/>
      <c r="G15" s="105"/>
      <c r="H15" s="105"/>
      <c r="I15" s="105"/>
      <c r="J15" s="105"/>
      <c r="K15" s="58"/>
      <c r="L15" s="58"/>
      <c r="M15" s="163">
        <v>0.03</v>
      </c>
      <c r="N15" s="80">
        <f ca="1">IF(AND($S$4="Multi",$R$4="FY"),ROUND(((1+$M15)^Worksheet!$B$20*Worksheet!$C$9+(1+$M15)^(Worksheet!$B$20+1)*Worksheet!$C$10)/12*Request!$E15*Request!$F15,0),(IF(AND($S$4="Multi",$R$4="PY"),ROUND(E15*F15/12*Worksheet!$C$5,0),(IF(AND($S$4&lt;&gt;"Multi",$R$4="FY"),ROUND(((1+$S$4)^Worksheet!$B$20*Worksheet!$C$9+(1+$S$4)^(Worksheet!$B$20+1)*Worksheet!$C$10)/12*Request!$E15*Request!$F15,0),ROUND($E15*$F15/12*Worksheet!$C$5,0))))))</f>
        <v>0</v>
      </c>
      <c r="O15" s="80">
        <f ca="1">IF(AND($S$4="Multi",$R$4="FY"),ROUND(((1+$M15)^(Worksheet!$B$20+1)*Worksheet!$D$9+(1+$M15)^(Worksheet!$B$20+2)*Worksheet!$D$10)/12*Request!$E15*Request!$G15,0),(IF(AND($S$4="Multi",$R$4="PY"),ROUND($E15*$G15*(1+M15)/12*Worksheet!$D$5,0),(IF(AND($S$4&lt;&gt;"Multi",$R$4="FY"),ROUND(((1+$S$4)^(Worksheet!$B$20+1)*Worksheet!$D$9+(1+$S$4)^(Worksheet!$B$20+2)*Worksheet!$D$10)/12*Request!$E15*Request!$G15,0),ROUND($E15*$G15*(1+$S$4)/12*Worksheet!$D$5,0))))))</f>
        <v>0</v>
      </c>
      <c r="P15" s="80">
        <f ca="1">IF(AND($S$4="Multi",$R$4="FY"),ROUND(((1+$M15)^(Worksheet!$B$20+2)*Worksheet!$E$9+(1+$M15)^(Worksheet!$B$20+3)*Worksheet!$E$10)/12*Request!$E15*Request!H15,0),(IF(AND($S$4="Multi",$R$4="PY"),ROUND($E15*H15*((1+$M15)^2)/12*Worksheet!$E$5,0),(IF(AND($S$4&lt;&gt;"Multi",$R$4="FY"),ROUND(((1+$S$4)^(Worksheet!$B$20+2)*Worksheet!$E$9+(1+$S$4)^(Worksheet!$B$20+3)*Worksheet!$E$10)/12*Request!$E15*Request!H15,0),ROUND($E15*H15*((1+$S$4)^2)/12*Worksheet!$E$5,0))))))</f>
        <v>0</v>
      </c>
      <c r="Q15" s="80">
        <f ca="1">IF(AND($S$4="Multi",$R$4="FY"),ROUND(((1+$M15)^(Worksheet!$B$20+3)*Worksheet!$F$9+(1+$M15)^(Worksheet!$B$20+4)*Worksheet!$F$10)/12*Request!$E15*Request!$I15,0),(IF(AND($S$4="Multi",$R$4="PY"),ROUND($E15*$I15*((1+$M15)^3)/12*Worksheet!$F$5,0),(IF(AND($S$4&lt;&gt;"Multi",$R$4="FY"),ROUND(((1+$S$4)^(Worksheet!$B$20+3)*Worksheet!$F$9+(1+$S$4)^(Worksheet!$B$20+4)*Worksheet!$F$10)/12*Request!$E15*Request!$I15,0),ROUND($E15*$I15*((1+$S$4)^3)/12*Worksheet!$F$5,0))))))</f>
        <v>0</v>
      </c>
      <c r="R15" s="80">
        <f ca="1">IF(AND($S$4="Multi",$R$4="FY"),ROUND(((1+$M15)^(Worksheet!$B$20+4)*Worksheet!$G$9+(1+$M15)^(Worksheet!$B$20+5)*Worksheet!$G$10)/12*Request!$E15*Request!$J15,0),(IF(AND($S$4="Multi",$R$4="PY"),ROUND($E15*$J15*((1+$M15)^4)/12*Worksheet!$G$5,0),(IF(AND($S$4&lt;&gt;"Multi",$R$4="FY"),ROUND(((1+$S$4)^(Worksheet!$B$20+4)*Worksheet!$G$9+(1+$S$4)^(Worksheet!$B$20+5)*Worksheet!$G$10)/12*Request!$E15*Request!$J15,0),ROUND($E15*$J15*((1+$S$4)^4)/12*Worksheet!$G$5,0))))))</f>
        <v>0</v>
      </c>
      <c r="S15" s="155">
        <f t="shared" ca="1" si="0"/>
        <v>0</v>
      </c>
      <c r="T15" s="61"/>
      <c r="U15" s="61"/>
      <c r="V15" s="61"/>
      <c r="W15" s="61"/>
      <c r="X15" s="61"/>
    </row>
    <row r="16" spans="1:24" ht="11" hidden="1" customHeight="1">
      <c r="A16" s="162">
        <v>10</v>
      </c>
      <c r="B16" s="257"/>
      <c r="C16" s="257"/>
      <c r="D16" s="258"/>
      <c r="E16" s="183"/>
      <c r="F16" s="105"/>
      <c r="G16" s="105"/>
      <c r="H16" s="105"/>
      <c r="I16" s="105"/>
      <c r="J16" s="105"/>
      <c r="K16" s="58"/>
      <c r="L16" s="58"/>
      <c r="M16" s="163">
        <v>0.03</v>
      </c>
      <c r="N16" s="80">
        <f ca="1">IF(AND($S$4="Multi",$R$4="FY"),ROUND(((1+$M16)^Worksheet!$B$20*Worksheet!$C$9+(1+$M16)^(Worksheet!$B$20+1)*Worksheet!$C$10)/12*Request!$E16*Request!$F16,0),(IF(AND($S$4="Multi",$R$4="PY"),ROUND(E16*F16/12*Worksheet!$C$5,0),(IF(AND($S$4&lt;&gt;"Multi",$R$4="FY"),ROUND(((1+$S$4)^Worksheet!$B$20*Worksheet!$C$9+(1+$S$4)^(Worksheet!$B$20+1)*Worksheet!$C$10)/12*Request!$E16*Request!$F16,0),ROUND($E16*$F16/12*Worksheet!$C$5,0))))))</f>
        <v>0</v>
      </c>
      <c r="O16" s="80">
        <f ca="1">IF(AND($S$4="Multi",$R$4="FY"),ROUND(((1+$M16)^(Worksheet!$B$20+1)*Worksheet!$D$9+(1+$M16)^(Worksheet!$B$20+2)*Worksheet!$D$10)/12*Request!$E16*Request!$G16,0),(IF(AND($S$4="Multi",$R$4="PY"),ROUND($E16*$G16*(1+M16)/12*Worksheet!$D$5,0),(IF(AND($S$4&lt;&gt;"Multi",$R$4="FY"),ROUND(((1+$S$4)^(Worksheet!$B$20+1)*Worksheet!$D$9+(1+$S$4)^(Worksheet!$B$20+2)*Worksheet!$D$10)/12*Request!$E16*Request!$G16,0),ROUND($E16*$G16*(1+$S$4)/12*Worksheet!$D$5,0))))))</f>
        <v>0</v>
      </c>
      <c r="P16" s="80">
        <f ca="1">IF(AND($S$4="Multi",$R$4="FY"),ROUND(((1+$M16)^(Worksheet!$B$20+2)*Worksheet!$E$9+(1+$M16)^(Worksheet!$B$20+3)*Worksheet!$E$10)/12*Request!$E16*Request!H16,0),(IF(AND($S$4="Multi",$R$4="PY"),ROUND($E16*H16*((1+$M16)^2)/12*Worksheet!$E$5,0),(IF(AND($S$4&lt;&gt;"Multi",$R$4="FY"),ROUND(((1+$S$4)^(Worksheet!$B$20+2)*Worksheet!$E$9+(1+$S$4)^(Worksheet!$B$20+3)*Worksheet!$E$10)/12*Request!$E16*Request!H16,0),ROUND($E16*H16*((1+$S$4)^2)/12*Worksheet!$E$5,0))))))</f>
        <v>0</v>
      </c>
      <c r="Q16" s="80">
        <f ca="1">IF(AND($S$4="Multi",$R$4="FY"),ROUND(((1+$M16)^(Worksheet!$B$20+3)*Worksheet!$F$9+(1+$M16)^(Worksheet!$B$20+4)*Worksheet!$F$10)/12*Request!$E16*Request!$I16,0),(IF(AND($S$4="Multi",$R$4="PY"),ROUND($E16*$I16*((1+$M16)^3)/12*Worksheet!$F$5,0),(IF(AND($S$4&lt;&gt;"Multi",$R$4="FY"),ROUND(((1+$S$4)^(Worksheet!$B$20+3)*Worksheet!$F$9+(1+$S$4)^(Worksheet!$B$20+4)*Worksheet!$F$10)/12*Request!$E16*Request!$I16,0),ROUND($E16*$I16*((1+$S$4)^3)/12*Worksheet!$F$5,0))))))</f>
        <v>0</v>
      </c>
      <c r="R16" s="80">
        <f ca="1">IF(AND($S$4="Multi",$R$4="FY"),ROUND(((1+$M16)^(Worksheet!$B$20+4)*Worksheet!$G$9+(1+$M16)^(Worksheet!$B$20+5)*Worksheet!$G$10)/12*Request!$E16*Request!$J16,0),(IF(AND($S$4="Multi",$R$4="PY"),ROUND($E16*$J16*((1+$M16)^4)/12*Worksheet!$G$5,0),(IF(AND($S$4&lt;&gt;"Multi",$R$4="FY"),ROUND(((1+$S$4)^(Worksheet!$B$20+4)*Worksheet!$G$9+(1+$S$4)^(Worksheet!$B$20+5)*Worksheet!$G$10)/12*Request!$E16*Request!$J16,0),ROUND($E16*$J16*((1+$S$4)^4)/12*Worksheet!$G$5,0))))))</f>
        <v>0</v>
      </c>
      <c r="S16" s="155">
        <f t="shared" ca="1" si="0"/>
        <v>0</v>
      </c>
      <c r="T16" s="61"/>
      <c r="U16" s="61"/>
      <c r="V16" s="61"/>
      <c r="W16" s="61"/>
      <c r="X16" s="61"/>
    </row>
    <row r="17" spans="1:24" hidden="1">
      <c r="A17" s="162">
        <v>11</v>
      </c>
      <c r="B17" s="257"/>
      <c r="C17" s="257"/>
      <c r="D17" s="258"/>
      <c r="E17" s="183"/>
      <c r="F17" s="105"/>
      <c r="G17" s="105"/>
      <c r="H17" s="105"/>
      <c r="I17" s="105"/>
      <c r="J17" s="105"/>
      <c r="K17" s="58"/>
      <c r="L17" s="58"/>
      <c r="M17" s="163">
        <v>0.03</v>
      </c>
      <c r="N17" s="80">
        <f ca="1">IF(AND($S$4="Multi",$R$4="FY"),ROUND(((1+$M17)^Worksheet!$B$20*Worksheet!$C$9+(1+$M17)^(Worksheet!$B$20+1)*Worksheet!$C$10)/12*Request!$E17*Request!$F17,0),(IF(AND($S$4="Multi",$R$4="PY"),ROUND(E17*F17/12*Worksheet!$C$5,0),(IF(AND($S$4&lt;&gt;"Multi",$R$4="FY"),ROUND(((1+$S$4)^Worksheet!$B$20*Worksheet!$C$9+(1+$S$4)^(Worksheet!$B$20+1)*Worksheet!$C$10)/12*Request!$E17*Request!$F17,0),ROUND($E17*$F17/12*Worksheet!$C$5,0))))))</f>
        <v>0</v>
      </c>
      <c r="O17" s="80">
        <f ca="1">IF(AND($S$4="Multi",$R$4="FY"),ROUND(((1+$M17)^(Worksheet!$B$20+1)*Worksheet!$D$9+(1+$M17)^(Worksheet!$B$20+2)*Worksheet!$D$10)/12*Request!$E17*Request!$G17,0),(IF(AND($S$4="Multi",$R$4="PY"),ROUND($E17*$G17*(1+M17)/12*Worksheet!$D$5,0),(IF(AND($S$4&lt;&gt;"Multi",$R$4="FY"),ROUND(((1+$S$4)^(Worksheet!$B$20+1)*Worksheet!$D$9+(1+$S$4)^(Worksheet!$B$20+2)*Worksheet!$D$10)/12*Request!$E17*Request!$G17,0),ROUND($E17*$G17*(1+$S$4)/12*Worksheet!$D$5,0))))))</f>
        <v>0</v>
      </c>
      <c r="P17" s="80">
        <f ca="1">IF(AND($S$4="Multi",$R$4="FY"),ROUND(((1+$M17)^(Worksheet!$B$20+2)*Worksheet!$E$9+(1+$M17)^(Worksheet!$B$20+3)*Worksheet!$E$10)/12*Request!$E17*Request!H17,0),(IF(AND($S$4="Multi",$R$4="PY"),ROUND($E17*H17*((1+$M17)^2)/12*Worksheet!$E$5,0),(IF(AND($S$4&lt;&gt;"Multi",$R$4="FY"),ROUND(((1+$S$4)^(Worksheet!$B$20+2)*Worksheet!$E$9+(1+$S$4)^(Worksheet!$B$20+3)*Worksheet!$E$10)/12*Request!$E17*Request!H17,0),ROUND($E17*H17*((1+$S$4)^2)/12*Worksheet!$E$5,0))))))</f>
        <v>0</v>
      </c>
      <c r="Q17" s="80">
        <f ca="1">IF(AND($S$4="Multi",$R$4="FY"),ROUND(((1+$M17)^(Worksheet!$B$20+3)*Worksheet!$F$9+(1+$M17)^(Worksheet!$B$20+4)*Worksheet!$F$10)/12*Request!$E17*Request!$I17,0),(IF(AND($S$4="Multi",$R$4="PY"),ROUND($E17*$I17*((1+$M17)^3)/12*Worksheet!$F$5,0),(IF(AND($S$4&lt;&gt;"Multi",$R$4="FY"),ROUND(((1+$S$4)^(Worksheet!$B$20+3)*Worksheet!$F$9+(1+$S$4)^(Worksheet!$B$20+4)*Worksheet!$F$10)/12*Request!$E17*Request!$I17,0),ROUND($E17*$I17*((1+$S$4)^3)/12*Worksheet!$F$5,0))))))</f>
        <v>0</v>
      </c>
      <c r="R17" s="80">
        <f ca="1">IF(AND($S$4="Multi",$R$4="FY"),ROUND(((1+$M17)^(Worksheet!$B$20+4)*Worksheet!$G$9+(1+$M17)^(Worksheet!$B$20+5)*Worksheet!$G$10)/12*Request!$E17*Request!$J17,0),(IF(AND($S$4="Multi",$R$4="PY"),ROUND($E17*$J17*((1+$M17)^4)/12*Worksheet!$G$5,0),(IF(AND($S$4&lt;&gt;"Multi",$R$4="FY"),ROUND(((1+$S$4)^(Worksheet!$B$20+4)*Worksheet!$G$9+(1+$S$4)^(Worksheet!$B$20+5)*Worksheet!$G$10)/12*Request!$E17*Request!$J17,0),ROUND($E17*$J17*((1+$S$4)^4)/12*Worksheet!$G$5,0))))))</f>
        <v>0</v>
      </c>
      <c r="S17" s="155">
        <f t="shared" ca="1" si="0"/>
        <v>0</v>
      </c>
      <c r="T17" s="61"/>
      <c r="U17" s="61"/>
      <c r="V17" s="61"/>
      <c r="W17" s="61"/>
      <c r="X17" s="61"/>
    </row>
    <row r="18" spans="1:24" hidden="1">
      <c r="A18" s="162">
        <v>12</v>
      </c>
      <c r="B18" s="257"/>
      <c r="C18" s="257"/>
      <c r="D18" s="258"/>
      <c r="E18" s="183"/>
      <c r="F18" s="105"/>
      <c r="G18" s="105"/>
      <c r="H18" s="105"/>
      <c r="I18" s="105"/>
      <c r="J18" s="105"/>
      <c r="K18" s="58"/>
      <c r="L18" s="58"/>
      <c r="M18" s="163">
        <v>0.03</v>
      </c>
      <c r="N18" s="80">
        <f ca="1">IF(AND($S$4="Multi",$R$4="FY"),ROUND(((1+$M18)^Worksheet!$B$20*Worksheet!$C$9+(1+$M18)^(Worksheet!$B$20+1)*Worksheet!$C$10)/12*Request!$E18*Request!$F18,0),(IF(AND($S$4="Multi",$R$4="PY"),ROUND(E18*F18/12*Worksheet!$C$5,0),(IF(AND($S$4&lt;&gt;"Multi",$R$4="FY"),ROUND(((1+$S$4)^Worksheet!$B$20*Worksheet!$C$9+(1+$S$4)^(Worksheet!$B$20+1)*Worksheet!$C$10)/12*Request!$E18*Request!$F18,0),ROUND($E18*$F18/12*Worksheet!$C$5,0))))))</f>
        <v>0</v>
      </c>
      <c r="O18" s="80">
        <f ca="1">IF(AND($S$4="Multi",$R$4="FY"),ROUND(((1+$M18)^(Worksheet!$B$20+1)*Worksheet!$D$9+(1+$M18)^(Worksheet!$B$20+2)*Worksheet!$D$10)/12*Request!$E18*Request!$G18,0),(IF(AND($S$4="Multi",$R$4="PY"),ROUND($E18*$G18*(1+M18)/12*Worksheet!$D$5,0),(IF(AND($S$4&lt;&gt;"Multi",$R$4="FY"),ROUND(((1+$S$4)^(Worksheet!$B$20+1)*Worksheet!$D$9+(1+$S$4)^(Worksheet!$B$20+2)*Worksheet!$D$10)/12*Request!$E18*Request!$G18,0),ROUND($E18*$G18*(1+$S$4)/12*Worksheet!$D$5,0))))))</f>
        <v>0</v>
      </c>
      <c r="P18" s="80">
        <f ca="1">IF(AND($S$4="Multi",$R$4="FY"),ROUND(((1+$M18)^(Worksheet!$B$20+2)*Worksheet!$E$9+(1+$M18)^(Worksheet!$B$20+3)*Worksheet!$E$10)/12*Request!$E18*Request!H18,0),(IF(AND($S$4="Multi",$R$4="PY"),ROUND($E18*H18*((1+$M18)^2)/12*Worksheet!$E$5,0),(IF(AND($S$4&lt;&gt;"Multi",$R$4="FY"),ROUND(((1+$S$4)^(Worksheet!$B$20+2)*Worksheet!$E$9+(1+$S$4)^(Worksheet!$B$20+3)*Worksheet!$E$10)/12*Request!$E18*Request!H18,0),ROUND($E18*H18*((1+$S$4)^2)/12*Worksheet!$E$5,0))))))</f>
        <v>0</v>
      </c>
      <c r="Q18" s="80">
        <f ca="1">IF(AND($S$4="Multi",$R$4="FY"),ROUND(((1+$M18)^(Worksheet!$B$20+3)*Worksheet!$F$9+(1+$M18)^(Worksheet!$B$20+4)*Worksheet!$F$10)/12*Request!$E18*Request!$I18,0),(IF(AND($S$4="Multi",$R$4="PY"),ROUND($E18*$I18*((1+$M18)^3)/12*Worksheet!$F$5,0),(IF(AND($S$4&lt;&gt;"Multi",$R$4="FY"),ROUND(((1+$S$4)^(Worksheet!$B$20+3)*Worksheet!$F$9+(1+$S$4)^(Worksheet!$B$20+4)*Worksheet!$F$10)/12*Request!$E18*Request!$I18,0),ROUND($E18*$I18*((1+$S$4)^3)/12*Worksheet!$F$5,0))))))</f>
        <v>0</v>
      </c>
      <c r="R18" s="80">
        <f ca="1">IF(AND($S$4="Multi",$R$4="FY"),ROUND(((1+$M18)^(Worksheet!$B$20+4)*Worksheet!$G$9+(1+$M18)^(Worksheet!$B$20+5)*Worksheet!$G$10)/12*Request!$E18*Request!$J18,0),(IF(AND($S$4="Multi",$R$4="PY"),ROUND($E18*$J18*((1+$M18)^4)/12*Worksheet!$G$5,0),(IF(AND($S$4&lt;&gt;"Multi",$R$4="FY"),ROUND(((1+$S$4)^(Worksheet!$B$20+4)*Worksheet!$G$9+(1+$S$4)^(Worksheet!$B$20+5)*Worksheet!$G$10)/12*Request!$E18*Request!$J18,0),ROUND($E18*$J18*((1+$S$4)^4)/12*Worksheet!$G$5,0))))))</f>
        <v>0</v>
      </c>
      <c r="S18" s="155">
        <f t="shared" ca="1" si="0"/>
        <v>0</v>
      </c>
      <c r="T18" s="61"/>
      <c r="U18" s="61"/>
      <c r="V18" s="61"/>
      <c r="W18" s="61"/>
      <c r="X18" s="61"/>
    </row>
    <row r="19" spans="1:24" hidden="1">
      <c r="A19" s="162">
        <v>13</v>
      </c>
      <c r="B19" s="257"/>
      <c r="C19" s="257"/>
      <c r="D19" s="258"/>
      <c r="E19" s="183"/>
      <c r="F19" s="105"/>
      <c r="G19" s="105"/>
      <c r="H19" s="105"/>
      <c r="I19" s="105"/>
      <c r="J19" s="105"/>
      <c r="K19" s="58"/>
      <c r="L19" s="58"/>
      <c r="M19" s="163">
        <v>0.03</v>
      </c>
      <c r="N19" s="80">
        <f ca="1">IF(AND($S$4="Multi",$R$4="FY"),ROUND(((1+$M19)^Worksheet!$B$20*Worksheet!$C$9+(1+$M19)^(Worksheet!$B$20+1)*Worksheet!$C$10)/12*Request!$E19*Request!$F19,0),(IF(AND($S$4="Multi",$R$4="PY"),ROUND(E19*F19/12*Worksheet!$C$5,0),(IF(AND($S$4&lt;&gt;"Multi",$R$4="FY"),ROUND(((1+$S$4)^Worksheet!$B$20*Worksheet!$C$9+(1+$S$4)^(Worksheet!$B$20+1)*Worksheet!$C$10)/12*Request!$E19*Request!$F19,0),ROUND($E19*$F19/12*Worksheet!$C$5,0))))))</f>
        <v>0</v>
      </c>
      <c r="O19" s="80">
        <f ca="1">IF(AND($S$4="Multi",$R$4="FY"),ROUND(((1+$M19)^(Worksheet!$B$20+1)*Worksheet!$D$9+(1+$M19)^(Worksheet!$B$20+2)*Worksheet!$D$10)/12*Request!$E19*Request!$G19,0),(IF(AND($S$4="Multi",$R$4="PY"),ROUND($E19*$G19*(1+M19)/12*Worksheet!$D$5,0),(IF(AND($S$4&lt;&gt;"Multi",$R$4="FY"),ROUND(((1+$S$4)^(Worksheet!$B$20+1)*Worksheet!$D$9+(1+$S$4)^(Worksheet!$B$20+2)*Worksheet!$D$10)/12*Request!$E19*Request!$G19,0),ROUND($E19*$G19*(1+$S$4)/12*Worksheet!$D$5,0))))))</f>
        <v>0</v>
      </c>
      <c r="P19" s="80">
        <f ca="1">IF(AND($S$4="Multi",$R$4="FY"),ROUND(((1+$M19)^(Worksheet!$B$20+2)*Worksheet!$E$9+(1+$M19)^(Worksheet!$B$20+3)*Worksheet!$E$10)/12*Request!$E19*Request!H19,0),(IF(AND($S$4="Multi",$R$4="PY"),ROUND($E19*H19*((1+$M19)^2)/12*Worksheet!$E$5,0),(IF(AND($S$4&lt;&gt;"Multi",$R$4="FY"),ROUND(((1+$S$4)^(Worksheet!$B$20+2)*Worksheet!$E$9+(1+$S$4)^(Worksheet!$B$20+3)*Worksheet!$E$10)/12*Request!$E19*Request!H19,0),ROUND($E19*H19*((1+$S$4)^2)/12*Worksheet!$E$5,0))))))</f>
        <v>0</v>
      </c>
      <c r="Q19" s="80">
        <f ca="1">IF(AND($S$4="Multi",$R$4="FY"),ROUND(((1+$M19)^(Worksheet!$B$20+3)*Worksheet!$F$9+(1+$M19)^(Worksheet!$B$20+4)*Worksheet!$F$10)/12*Request!$E19*Request!$I19,0),(IF(AND($S$4="Multi",$R$4="PY"),ROUND($E19*$I19*((1+$M19)^3)/12*Worksheet!$F$5,0),(IF(AND($S$4&lt;&gt;"Multi",$R$4="FY"),ROUND(((1+$S$4)^(Worksheet!$B$20+3)*Worksheet!$F$9+(1+$S$4)^(Worksheet!$B$20+4)*Worksheet!$F$10)/12*Request!$E19*Request!$I19,0),ROUND($E19*$I19*((1+$S$4)^3)/12*Worksheet!$F$5,0))))))</f>
        <v>0</v>
      </c>
      <c r="R19" s="80">
        <f ca="1">IF(AND($S$4="Multi",$R$4="FY"),ROUND(((1+$M19)^(Worksheet!$B$20+4)*Worksheet!$G$9+(1+$M19)^(Worksheet!$B$20+5)*Worksheet!$G$10)/12*Request!$E19*Request!$J19,0),(IF(AND($S$4="Multi",$R$4="PY"),ROUND($E19*$J19*((1+$M19)^4)/12*Worksheet!$G$5,0),(IF(AND($S$4&lt;&gt;"Multi",$R$4="FY"),ROUND(((1+$S$4)^(Worksheet!$B$20+4)*Worksheet!$G$9+(1+$S$4)^(Worksheet!$B$20+5)*Worksheet!$G$10)/12*Request!$E19*Request!$J19,0),ROUND($E19*$J19*((1+$S$4)^4)/12*Worksheet!$G$5,0))))))</f>
        <v>0</v>
      </c>
      <c r="S19" s="155">
        <f t="shared" ca="1" si="0"/>
        <v>0</v>
      </c>
      <c r="T19" s="61"/>
      <c r="U19" s="61"/>
      <c r="V19" s="61"/>
      <c r="W19" s="61"/>
      <c r="X19" s="61"/>
    </row>
    <row r="20" spans="1:24" hidden="1">
      <c r="A20" s="162">
        <v>14</v>
      </c>
      <c r="B20" s="257"/>
      <c r="C20" s="257"/>
      <c r="D20" s="258"/>
      <c r="E20" s="183"/>
      <c r="F20" s="105"/>
      <c r="G20" s="105"/>
      <c r="H20" s="105"/>
      <c r="I20" s="105"/>
      <c r="J20" s="105"/>
      <c r="K20" s="58"/>
      <c r="L20" s="58"/>
      <c r="M20" s="163">
        <v>0.03</v>
      </c>
      <c r="N20" s="80">
        <f ca="1">IF(AND($S$4="Multi",$R$4="FY"),ROUND(((1+$M20)^Worksheet!$B$20*Worksheet!$C$9+(1+$M20)^(Worksheet!$B$20+1)*Worksheet!$C$10)/12*Request!$E20*Request!$F20,0),(IF(AND($S$4="Multi",$R$4="PY"),ROUND(E20*F20/12*Worksheet!$C$5,0),(IF(AND($S$4&lt;&gt;"Multi",$R$4="FY"),ROUND(((1+$S$4)^Worksheet!$B$20*Worksheet!$C$9+(1+$S$4)^(Worksheet!$B$20+1)*Worksheet!$C$10)/12*Request!$E20*Request!$F20,0),ROUND($E20*$F20/12*Worksheet!$C$5,0))))))</f>
        <v>0</v>
      </c>
      <c r="O20" s="80">
        <f ca="1">IF(AND($S$4="Multi",$R$4="FY"),ROUND(((1+$M20)^(Worksheet!$B$20+1)*Worksheet!$D$9+(1+$M20)^(Worksheet!$B$20+2)*Worksheet!$D$10)/12*Request!$E20*Request!$G20,0),(IF(AND($S$4="Multi",$R$4="PY"),ROUND($E20*$G20*(1+M20)/12*Worksheet!$D$5,0),(IF(AND($S$4&lt;&gt;"Multi",$R$4="FY"),ROUND(((1+$S$4)^(Worksheet!$B$20+1)*Worksheet!$D$9+(1+$S$4)^(Worksheet!$B$20+2)*Worksheet!$D$10)/12*Request!$E20*Request!$G20,0),ROUND($E20*$G20*(1+$S$4)/12*Worksheet!$D$5,0))))))</f>
        <v>0</v>
      </c>
      <c r="P20" s="80">
        <f ca="1">IF(AND($S$4="Multi",$R$4="FY"),ROUND(((1+$M20)^(Worksheet!$B$20+2)*Worksheet!$E$9+(1+$M20)^(Worksheet!$B$20+3)*Worksheet!$E$10)/12*Request!$E20*Request!H20,0),(IF(AND($S$4="Multi",$R$4="PY"),ROUND($E20*H20*((1+$M20)^2)/12*Worksheet!$E$5,0),(IF(AND($S$4&lt;&gt;"Multi",$R$4="FY"),ROUND(((1+$S$4)^(Worksheet!$B$20+2)*Worksheet!$E$9+(1+$S$4)^(Worksheet!$B$20+3)*Worksheet!$E$10)/12*Request!$E20*Request!H20,0),ROUND($E20*H20*((1+$S$4)^2)/12*Worksheet!$E$5,0))))))</f>
        <v>0</v>
      </c>
      <c r="Q20" s="80">
        <f ca="1">IF(AND($S$4="Multi",$R$4="FY"),ROUND(((1+$M20)^(Worksheet!$B$20+3)*Worksheet!$F$9+(1+$M20)^(Worksheet!$B$20+4)*Worksheet!$F$10)/12*Request!$E20*Request!$I20,0),(IF(AND($S$4="Multi",$R$4="PY"),ROUND($E20*$I20*((1+$M20)^3)/12*Worksheet!$F$5,0),(IF(AND($S$4&lt;&gt;"Multi",$R$4="FY"),ROUND(((1+$S$4)^(Worksheet!$B$20+3)*Worksheet!$F$9+(1+$S$4)^(Worksheet!$B$20+4)*Worksheet!$F$10)/12*Request!$E20*Request!$I20,0),ROUND($E20*$I20*((1+$S$4)^3)/12*Worksheet!$F$5,0))))))</f>
        <v>0</v>
      </c>
      <c r="R20" s="80">
        <f ca="1">IF(AND($S$4="Multi",$R$4="FY"),ROUND(((1+$M20)^(Worksheet!$B$20+4)*Worksheet!$G$9+(1+$M20)^(Worksheet!$B$20+5)*Worksheet!$G$10)/12*Request!$E20*Request!$J20,0),(IF(AND($S$4="Multi",$R$4="PY"),ROUND($E20*$J20*((1+$M20)^4)/12*Worksheet!$G$5,0),(IF(AND($S$4&lt;&gt;"Multi",$R$4="FY"),ROUND(((1+$S$4)^(Worksheet!$B$20+4)*Worksheet!$G$9+(1+$S$4)^(Worksheet!$B$20+5)*Worksheet!$G$10)/12*Request!$E20*Request!$J20,0),ROUND($E20*$J20*((1+$S$4)^4)/12*Worksheet!$G$5,0))))))</f>
        <v>0</v>
      </c>
      <c r="S20" s="155">
        <f t="shared" ca="1" si="0"/>
        <v>0</v>
      </c>
      <c r="T20" s="61"/>
      <c r="U20" s="61"/>
      <c r="V20" s="61"/>
      <c r="W20" s="61"/>
      <c r="X20" s="61"/>
    </row>
    <row r="21" spans="1:24" hidden="1">
      <c r="A21" s="162">
        <v>15</v>
      </c>
      <c r="B21" s="257"/>
      <c r="C21" s="257"/>
      <c r="D21" s="258"/>
      <c r="E21" s="183"/>
      <c r="F21" s="105"/>
      <c r="G21" s="105"/>
      <c r="H21" s="105"/>
      <c r="I21" s="105"/>
      <c r="J21" s="105"/>
      <c r="K21" s="58"/>
      <c r="L21" s="58"/>
      <c r="M21" s="163">
        <v>0.03</v>
      </c>
      <c r="N21" s="80">
        <f ca="1">IF(AND($S$4="Multi",$R$4="FY"),ROUND(((1+$M21)^Worksheet!$B$20*Worksheet!$C$9+(1+$M21)^(Worksheet!$B$20+1)*Worksheet!$C$10)/12*Request!$E21*Request!$F21,0),(IF(AND($S$4="Multi",$R$4="PY"),ROUND(E21*F21/12*Worksheet!$C$5,0),(IF(AND($S$4&lt;&gt;"Multi",$R$4="FY"),ROUND(((1+$S$4)^Worksheet!$B$20*Worksheet!$C$9+(1+$S$4)^(Worksheet!$B$20+1)*Worksheet!$C$10)/12*Request!$E21*Request!$F21,0),ROUND($E21*$F21/12*Worksheet!$C$5,0))))))</f>
        <v>0</v>
      </c>
      <c r="O21" s="80">
        <f ca="1">IF(AND($S$4="Multi",$R$4="FY"),ROUND(((1+$M21)^(Worksheet!$B$20+1)*Worksheet!$D$9+(1+$M21)^(Worksheet!$B$20+2)*Worksheet!$D$10)/12*Request!$E21*Request!$G21,0),(IF(AND($S$4="Multi",$R$4="PY"),ROUND($E21*$G21*(1+M21)/12*Worksheet!$D$5,0),(IF(AND($S$4&lt;&gt;"Multi",$R$4="FY"),ROUND(((1+$S$4)^(Worksheet!$B$20+1)*Worksheet!$D$9+(1+$S$4)^(Worksheet!$B$20+2)*Worksheet!$D$10)/12*Request!$E21*Request!$G21,0),ROUND($E21*$G21*(1+$S$4)/12*Worksheet!$D$5,0))))))</f>
        <v>0</v>
      </c>
      <c r="P21" s="80">
        <f ca="1">IF(AND($S$4="Multi",$R$4="FY"),ROUND(((1+$M21)^(Worksheet!$B$20+2)*Worksheet!$E$9+(1+$M21)^(Worksheet!$B$20+3)*Worksheet!$E$10)/12*Request!$E21*Request!H21,0),(IF(AND($S$4="Multi",$R$4="PY"),ROUND($E21*H21*((1+$M21)^2)/12*Worksheet!$E$5,0),(IF(AND($S$4&lt;&gt;"Multi",$R$4="FY"),ROUND(((1+$S$4)^(Worksheet!$B$20+2)*Worksheet!$E$9+(1+$S$4)^(Worksheet!$B$20+3)*Worksheet!$E$10)/12*Request!$E21*Request!H21,0),ROUND($E21*H21*((1+$S$4)^2)/12*Worksheet!$E$5,0))))))</f>
        <v>0</v>
      </c>
      <c r="Q21" s="80">
        <f ca="1">IF(AND($S$4="Multi",$R$4="FY"),ROUND(((1+$M21)^(Worksheet!$B$20+3)*Worksheet!$F$9+(1+$M21)^(Worksheet!$B$20+4)*Worksheet!$F$10)/12*Request!$E21*Request!$I21,0),(IF(AND($S$4="Multi",$R$4="PY"),ROUND($E21*$I21*((1+$M21)^3)/12*Worksheet!$F$5,0),(IF(AND($S$4&lt;&gt;"Multi",$R$4="FY"),ROUND(((1+$S$4)^(Worksheet!$B$20+3)*Worksheet!$F$9+(1+$S$4)^(Worksheet!$B$20+4)*Worksheet!$F$10)/12*Request!$E21*Request!$I21,0),ROUND($E21*$I21*((1+$S$4)^3)/12*Worksheet!$F$5,0))))))</f>
        <v>0</v>
      </c>
      <c r="R21" s="80">
        <f ca="1">IF(AND($S$4="Multi",$R$4="FY"),ROUND(((1+$M21)^(Worksheet!$B$20+4)*Worksheet!$G$9+(1+$M21)^(Worksheet!$B$20+5)*Worksheet!$G$10)/12*Request!$E21*Request!$J21,0),(IF(AND($S$4="Multi",$R$4="PY"),ROUND($E21*$J21*((1+$M21)^4)/12*Worksheet!$G$5,0),(IF(AND($S$4&lt;&gt;"Multi",$R$4="FY"),ROUND(((1+$S$4)^(Worksheet!$B$20+4)*Worksheet!$G$9+(1+$S$4)^(Worksheet!$B$20+5)*Worksheet!$G$10)/12*Request!$E21*Request!$J21,0),ROUND($E21*$J21*((1+$S$4)^4)/12*Worksheet!$G$5,0))))))</f>
        <v>0</v>
      </c>
      <c r="S21" s="155">
        <f t="shared" ca="1" si="0"/>
        <v>0</v>
      </c>
      <c r="T21" s="61"/>
      <c r="U21" s="61"/>
      <c r="V21" s="61"/>
      <c r="W21" s="61"/>
      <c r="X21" s="61"/>
    </row>
    <row r="22" spans="1:24" hidden="1">
      <c r="A22" s="162">
        <v>16</v>
      </c>
      <c r="B22" s="257"/>
      <c r="C22" s="257"/>
      <c r="D22" s="258"/>
      <c r="E22" s="183"/>
      <c r="F22" s="105"/>
      <c r="G22" s="105"/>
      <c r="H22" s="105"/>
      <c r="I22" s="105"/>
      <c r="J22" s="105"/>
      <c r="K22" s="58"/>
      <c r="L22" s="58"/>
      <c r="M22" s="163">
        <v>0.03</v>
      </c>
      <c r="N22" s="80">
        <f ca="1">IF(AND($S$4="Multi",$R$4="FY"),ROUND(((1+$M22)^Worksheet!$B$20*Worksheet!$C$9+(1+$M22)^(Worksheet!$B$20+1)*Worksheet!$C$10)/12*Request!$E22*Request!$F22,0),(IF(AND($S$4="Multi",$R$4="PY"),ROUND(E22*F22/12*Worksheet!$C$5,0),(IF(AND($S$4&lt;&gt;"Multi",$R$4="FY"),ROUND(((1+$S$4)^Worksheet!$B$20*Worksheet!$C$9+(1+$S$4)^(Worksheet!$B$20+1)*Worksheet!$C$10)/12*Request!$E22*Request!$F22,0),ROUND($E22*$F22/12*Worksheet!$C$5,0))))))</f>
        <v>0</v>
      </c>
      <c r="O22" s="80">
        <f ca="1">IF(AND($S$4="Multi",$R$4="FY"),ROUND(((1+$M22)^(Worksheet!$B$20+1)*Worksheet!$D$9+(1+$M22)^(Worksheet!$B$20+2)*Worksheet!$D$10)/12*Request!$E22*Request!$G22,0),(IF(AND($S$4="Multi",$R$4="PY"),ROUND($E22*$G22*(1+M22)/12*Worksheet!$D$5,0),(IF(AND($S$4&lt;&gt;"Multi",$R$4="FY"),ROUND(((1+$S$4)^(Worksheet!$B$20+1)*Worksheet!$D$9+(1+$S$4)^(Worksheet!$B$20+2)*Worksheet!$D$10)/12*Request!$E22*Request!$G22,0),ROUND($E22*$G22*(1+$S$4)/12*Worksheet!$D$5,0))))))</f>
        <v>0</v>
      </c>
      <c r="P22" s="80">
        <f ca="1">IF(AND($S$4="Multi",$R$4="FY"),ROUND(((1+$M22)^(Worksheet!$B$20+2)*Worksheet!$E$9+(1+$M22)^(Worksheet!$B$20+3)*Worksheet!$E$10)/12*Request!$E22*Request!H22,0),(IF(AND($S$4="Multi",$R$4="PY"),ROUND($E22*H22*((1+$M22)^2)/12*Worksheet!$E$5,0),(IF(AND($S$4&lt;&gt;"Multi",$R$4="FY"),ROUND(((1+$S$4)^(Worksheet!$B$20+2)*Worksheet!$E$9+(1+$S$4)^(Worksheet!$B$20+3)*Worksheet!$E$10)/12*Request!$E22*Request!H22,0),ROUND($E22*H22*((1+$S$4)^2)/12*Worksheet!$E$5,0))))))</f>
        <v>0</v>
      </c>
      <c r="Q22" s="80">
        <f ca="1">IF(AND($S$4="Multi",$R$4="FY"),ROUND(((1+$M22)^(Worksheet!$B$20+3)*Worksheet!$F$9+(1+$M22)^(Worksheet!$B$20+4)*Worksheet!$F$10)/12*Request!$E22*Request!$I22,0),(IF(AND($S$4="Multi",$R$4="PY"),ROUND($E22*$I22*((1+$M22)^3)/12*Worksheet!$F$5,0),(IF(AND($S$4&lt;&gt;"Multi",$R$4="FY"),ROUND(((1+$S$4)^(Worksheet!$B$20+3)*Worksheet!$F$9+(1+$S$4)^(Worksheet!$B$20+4)*Worksheet!$F$10)/12*Request!$E22*Request!$I22,0),ROUND($E22*$I22*((1+$S$4)^3)/12*Worksheet!$F$5,0))))))</f>
        <v>0</v>
      </c>
      <c r="R22" s="80">
        <f ca="1">IF(AND($S$4="Multi",$R$4="FY"),ROUND(((1+$M22)^(Worksheet!$B$20+4)*Worksheet!$G$9+(1+$M22)^(Worksheet!$B$20+5)*Worksheet!$G$10)/12*Request!$E22*Request!$J22,0),(IF(AND($S$4="Multi",$R$4="PY"),ROUND($E22*$J22*((1+$M22)^4)/12*Worksheet!$G$5,0),(IF(AND($S$4&lt;&gt;"Multi",$R$4="FY"),ROUND(((1+$S$4)^(Worksheet!$B$20+4)*Worksheet!$G$9+(1+$S$4)^(Worksheet!$B$20+5)*Worksheet!$G$10)/12*Request!$E22*Request!$J22,0),ROUND($E22*$J22*((1+$S$4)^4)/12*Worksheet!$G$5,0))))))</f>
        <v>0</v>
      </c>
      <c r="S22" s="155">
        <f t="shared" ca="1" si="0"/>
        <v>0</v>
      </c>
      <c r="T22" s="61"/>
      <c r="U22" s="61"/>
      <c r="V22" s="61"/>
      <c r="W22" s="61"/>
      <c r="X22" s="61"/>
    </row>
    <row r="23" spans="1:24" hidden="1">
      <c r="A23" s="162">
        <v>17</v>
      </c>
      <c r="B23" s="257"/>
      <c r="C23" s="257"/>
      <c r="D23" s="258"/>
      <c r="E23" s="183"/>
      <c r="F23" s="105"/>
      <c r="G23" s="105"/>
      <c r="H23" s="105"/>
      <c r="I23" s="105"/>
      <c r="J23" s="105"/>
      <c r="K23" s="58"/>
      <c r="L23" s="58"/>
      <c r="M23" s="163">
        <v>0.03</v>
      </c>
      <c r="N23" s="80">
        <f ca="1">IF(AND($S$4="Multi",$R$4="FY"),ROUND(((1+$M23)^Worksheet!$B$20*Worksheet!$C$9+(1+$M23)^(Worksheet!$B$20+1)*Worksheet!$C$10)/12*Request!$E23*Request!$F23,0),(IF(AND($S$4="Multi",$R$4="PY"),ROUND(E23*F23/12*Worksheet!$C$5,0),(IF(AND($S$4&lt;&gt;"Multi",$R$4="FY"),ROUND(((1+$S$4)^Worksheet!$B$20*Worksheet!$C$9+(1+$S$4)^(Worksheet!$B$20+1)*Worksheet!$C$10)/12*Request!$E23*Request!$F23,0),ROUND($E23*$F23/12*Worksheet!$C$5,0))))))</f>
        <v>0</v>
      </c>
      <c r="O23" s="80">
        <f ca="1">IF(AND($S$4="Multi",$R$4="FY"),ROUND(((1+$M23)^(Worksheet!$B$20+1)*Worksheet!$D$9+(1+$M23)^(Worksheet!$B$20+2)*Worksheet!$D$10)/12*Request!$E23*Request!$G23,0),(IF(AND($S$4="Multi",$R$4="PY"),ROUND($E23*$G23*(1+M23)/12*Worksheet!$D$5,0),(IF(AND($S$4&lt;&gt;"Multi",$R$4="FY"),ROUND(((1+$S$4)^(Worksheet!$B$20+1)*Worksheet!$D$9+(1+$S$4)^(Worksheet!$B$20+2)*Worksheet!$D$10)/12*Request!$E23*Request!$G23,0),ROUND($E23*$G23*(1+$S$4)/12*Worksheet!$D$5,0))))))</f>
        <v>0</v>
      </c>
      <c r="P23" s="80">
        <f ca="1">IF(AND($S$4="Multi",$R$4="FY"),ROUND(((1+$M23)^(Worksheet!$B$20+2)*Worksheet!$E$9+(1+$M23)^(Worksheet!$B$20+3)*Worksheet!$E$10)/12*Request!$E23*Request!H23,0),(IF(AND($S$4="Multi",$R$4="PY"),ROUND($E23*H23*((1+$M23)^2)/12*Worksheet!$E$5,0),(IF(AND($S$4&lt;&gt;"Multi",$R$4="FY"),ROUND(((1+$S$4)^(Worksheet!$B$20+2)*Worksheet!$E$9+(1+$S$4)^(Worksheet!$B$20+3)*Worksheet!$E$10)/12*Request!$E23*Request!H23,0),ROUND($E23*H23*((1+$S$4)^2)/12*Worksheet!$E$5,0))))))</f>
        <v>0</v>
      </c>
      <c r="Q23" s="80">
        <f ca="1">IF(AND($S$4="Multi",$R$4="FY"),ROUND(((1+$M23)^(Worksheet!$B$20+3)*Worksheet!$F$9+(1+$M23)^(Worksheet!$B$20+4)*Worksheet!$F$10)/12*Request!$E23*Request!$I23,0),(IF(AND($S$4="Multi",$R$4="PY"),ROUND($E23*$I23*((1+$M23)^3)/12*Worksheet!$F$5,0),(IF(AND($S$4&lt;&gt;"Multi",$R$4="FY"),ROUND(((1+$S$4)^(Worksheet!$B$20+3)*Worksheet!$F$9+(1+$S$4)^(Worksheet!$B$20+4)*Worksheet!$F$10)/12*Request!$E23*Request!$I23,0),ROUND($E23*$I23*((1+$S$4)^3)/12*Worksheet!$F$5,0))))))</f>
        <v>0</v>
      </c>
      <c r="R23" s="80">
        <f ca="1">IF(AND($S$4="Multi",$R$4="FY"),ROUND(((1+$M23)^(Worksheet!$B$20+4)*Worksheet!$G$9+(1+$M23)^(Worksheet!$B$20+5)*Worksheet!$G$10)/12*Request!$E23*Request!$J23,0),(IF(AND($S$4="Multi",$R$4="PY"),ROUND($E23*$J23*((1+$M23)^4)/12*Worksheet!$G$5,0),(IF(AND($S$4&lt;&gt;"Multi",$R$4="FY"),ROUND(((1+$S$4)^(Worksheet!$B$20+4)*Worksheet!$G$9+(1+$S$4)^(Worksheet!$B$20+5)*Worksheet!$G$10)/12*Request!$E23*Request!$J23,0),ROUND($E23*$J23*((1+$S$4)^4)/12*Worksheet!$G$5,0))))))</f>
        <v>0</v>
      </c>
      <c r="S23" s="155">
        <f t="shared" ca="1" si="0"/>
        <v>0</v>
      </c>
      <c r="T23" s="61"/>
      <c r="U23" s="61"/>
      <c r="V23" s="61"/>
      <c r="W23" s="61"/>
      <c r="X23" s="61"/>
    </row>
    <row r="24" spans="1:24" hidden="1">
      <c r="A24" s="162">
        <v>18</v>
      </c>
      <c r="B24" s="257"/>
      <c r="C24" s="257"/>
      <c r="D24" s="258"/>
      <c r="E24" s="183"/>
      <c r="F24" s="105"/>
      <c r="G24" s="105"/>
      <c r="H24" s="105"/>
      <c r="I24" s="105"/>
      <c r="J24" s="105"/>
      <c r="K24" s="58"/>
      <c r="L24" s="58"/>
      <c r="M24" s="163">
        <v>0.03</v>
      </c>
      <c r="N24" s="80">
        <f ca="1">IF(AND($S$4="Multi",$R$4="FY"),ROUND(((1+$M24)^Worksheet!$B$20*Worksheet!$C$9+(1+$M24)^(Worksheet!$B$20+1)*Worksheet!$C$10)/12*Request!$E24*Request!$F24,0),(IF(AND($S$4="Multi",$R$4="PY"),ROUND(E24*F24/12*Worksheet!$C$5,0),(IF(AND($S$4&lt;&gt;"Multi",$R$4="FY"),ROUND(((1+$S$4)^Worksheet!$B$20*Worksheet!$C$9+(1+$S$4)^(Worksheet!$B$20+1)*Worksheet!$C$10)/12*Request!$E24*Request!$F24,0),ROUND($E24*$F24/12*Worksheet!$C$5,0))))))</f>
        <v>0</v>
      </c>
      <c r="O24" s="80">
        <f ca="1">IF(AND($S$4="Multi",$R$4="FY"),ROUND(((1+$M24)^(Worksheet!$B$20+1)*Worksheet!$D$9+(1+$M24)^(Worksheet!$B$20+2)*Worksheet!$D$10)/12*Request!$E24*Request!$G24,0),(IF(AND($S$4="Multi",$R$4="PY"),ROUND($E24*$G24*(1+M24)/12*Worksheet!$D$5,0),(IF(AND($S$4&lt;&gt;"Multi",$R$4="FY"),ROUND(((1+$S$4)^(Worksheet!$B$20+1)*Worksheet!$D$9+(1+$S$4)^(Worksheet!$B$20+2)*Worksheet!$D$10)/12*Request!$E24*Request!$G24,0),ROUND($E24*$G24*(1+$S$4)/12*Worksheet!$D$5,0))))))</f>
        <v>0</v>
      </c>
      <c r="P24" s="80">
        <f ca="1">IF(AND($S$4="Multi",$R$4="FY"),ROUND(((1+$M24)^(Worksheet!$B$20+2)*Worksheet!$E$9+(1+$M24)^(Worksheet!$B$20+3)*Worksheet!$E$10)/12*Request!$E24*Request!H24,0),(IF(AND($S$4="Multi",$R$4="PY"),ROUND($E24*H24*((1+$M24)^2)/12*Worksheet!$E$5,0),(IF(AND($S$4&lt;&gt;"Multi",$R$4="FY"),ROUND(((1+$S$4)^(Worksheet!$B$20+2)*Worksheet!$E$9+(1+$S$4)^(Worksheet!$B$20+3)*Worksheet!$E$10)/12*Request!$E24*Request!H24,0),ROUND($E24*H24*((1+$S$4)^2)/12*Worksheet!$E$5,0))))))</f>
        <v>0</v>
      </c>
      <c r="Q24" s="80">
        <f ca="1">IF(AND($S$4="Multi",$R$4="FY"),ROUND(((1+$M24)^(Worksheet!$B$20+3)*Worksheet!$F$9+(1+$M24)^(Worksheet!$B$20+4)*Worksheet!$F$10)/12*Request!$E24*Request!$I24,0),(IF(AND($S$4="Multi",$R$4="PY"),ROUND($E24*$I24*((1+$M24)^3)/12*Worksheet!$F$5,0),(IF(AND($S$4&lt;&gt;"Multi",$R$4="FY"),ROUND(((1+$S$4)^(Worksheet!$B$20+3)*Worksheet!$F$9+(1+$S$4)^(Worksheet!$B$20+4)*Worksheet!$F$10)/12*Request!$E24*Request!$I24,0),ROUND($E24*$I24*((1+$S$4)^3)/12*Worksheet!$F$5,0))))))</f>
        <v>0</v>
      </c>
      <c r="R24" s="80">
        <f ca="1">IF(AND($S$4="Multi",$R$4="FY"),ROUND(((1+$M24)^(Worksheet!$B$20+4)*Worksheet!$G$9+(1+$M24)^(Worksheet!$B$20+5)*Worksheet!$G$10)/12*Request!$E24*Request!$J24,0),(IF(AND($S$4="Multi",$R$4="PY"),ROUND($E24*$J24*((1+$M24)^4)/12*Worksheet!$G$5,0),(IF(AND($S$4&lt;&gt;"Multi",$R$4="FY"),ROUND(((1+$S$4)^(Worksheet!$B$20+4)*Worksheet!$G$9+(1+$S$4)^(Worksheet!$B$20+5)*Worksheet!$G$10)/12*Request!$E24*Request!$J24,0),ROUND($E24*$J24*((1+$S$4)^4)/12*Worksheet!$G$5,0))))))</f>
        <v>0</v>
      </c>
      <c r="S24" s="155">
        <f t="shared" ca="1" si="0"/>
        <v>0</v>
      </c>
      <c r="T24" s="61"/>
      <c r="U24" s="61"/>
      <c r="V24" s="61"/>
      <c r="W24" s="61"/>
      <c r="X24" s="61"/>
    </row>
    <row r="25" spans="1:24" hidden="1">
      <c r="A25" s="162">
        <v>19</v>
      </c>
      <c r="B25" s="257"/>
      <c r="C25" s="257"/>
      <c r="D25" s="258"/>
      <c r="E25" s="183"/>
      <c r="F25" s="105"/>
      <c r="G25" s="105"/>
      <c r="H25" s="105"/>
      <c r="I25" s="105"/>
      <c r="J25" s="105"/>
      <c r="K25" s="58"/>
      <c r="L25" s="58"/>
      <c r="M25" s="163">
        <v>0.03</v>
      </c>
      <c r="N25" s="80">
        <f ca="1">IF(AND($S$4="Multi",$R$4="FY"),ROUND(((1+$M25)^Worksheet!$B$20*Worksheet!$C$9+(1+$M25)^(Worksheet!$B$20+1)*Worksheet!$C$10)/12*Request!$E25*Request!$F25,0),(IF(AND($S$4="Multi",$R$4="PY"),ROUND(E25*F25/12*Worksheet!$C$5,0),(IF(AND($S$4&lt;&gt;"Multi",$R$4="FY"),ROUND(((1+$S$4)^Worksheet!$B$20*Worksheet!$C$9+(1+$S$4)^(Worksheet!$B$20+1)*Worksheet!$C$10)/12*Request!$E25*Request!$F25,0),ROUND($E25*$F25/12*Worksheet!$C$5,0))))))</f>
        <v>0</v>
      </c>
      <c r="O25" s="80">
        <f ca="1">IF(AND($S$4="Multi",$R$4="FY"),ROUND(((1+$M25)^(Worksheet!$B$20+1)*Worksheet!$D$9+(1+$M25)^(Worksheet!$B$20+2)*Worksheet!$D$10)/12*Request!$E25*Request!$G25,0),(IF(AND($S$4="Multi",$R$4="PY"),ROUND($E25*$G25*(1+M25)/12*Worksheet!$D$5,0),(IF(AND($S$4&lt;&gt;"Multi",$R$4="FY"),ROUND(((1+$S$4)^(Worksheet!$B$20+1)*Worksheet!$D$9+(1+$S$4)^(Worksheet!$B$20+2)*Worksheet!$D$10)/12*Request!$E25*Request!$G25,0),ROUND($E25*$G25*(1+$S$4)/12*Worksheet!$D$5,0))))))</f>
        <v>0</v>
      </c>
      <c r="P25" s="80">
        <f ca="1">IF(AND($S$4="Multi",$R$4="FY"),ROUND(((1+$M25)^(Worksheet!$B$20+2)*Worksheet!$E$9+(1+$M25)^(Worksheet!$B$20+3)*Worksheet!$E$10)/12*Request!$E25*Request!H25,0),(IF(AND($S$4="Multi",$R$4="PY"),ROUND($E25*H25*((1+$M25)^2)/12*Worksheet!$E$5,0),(IF(AND($S$4&lt;&gt;"Multi",$R$4="FY"),ROUND(((1+$S$4)^(Worksheet!$B$20+2)*Worksheet!$E$9+(1+$S$4)^(Worksheet!$B$20+3)*Worksheet!$E$10)/12*Request!$E25*Request!H25,0),ROUND($E25*H25*((1+$S$4)^2)/12*Worksheet!$E$5,0))))))</f>
        <v>0</v>
      </c>
      <c r="Q25" s="80">
        <f ca="1">IF(AND($S$4="Multi",$R$4="FY"),ROUND(((1+$M25)^(Worksheet!$B$20+3)*Worksheet!$F$9+(1+$M25)^(Worksheet!$B$20+4)*Worksheet!$F$10)/12*Request!$E25*Request!$I25,0),(IF(AND($S$4="Multi",$R$4="PY"),ROUND($E25*$I25*((1+$M25)^3)/12*Worksheet!$F$5,0),(IF(AND($S$4&lt;&gt;"Multi",$R$4="FY"),ROUND(((1+$S$4)^(Worksheet!$B$20+3)*Worksheet!$F$9+(1+$S$4)^(Worksheet!$B$20+4)*Worksheet!$F$10)/12*Request!$E25*Request!$I25,0),ROUND($E25*$I25*((1+$S$4)^3)/12*Worksheet!$F$5,0))))))</f>
        <v>0</v>
      </c>
      <c r="R25" s="80">
        <f ca="1">IF(AND($S$4="Multi",$R$4="FY"),ROUND(((1+$M25)^(Worksheet!$B$20+4)*Worksheet!$G$9+(1+$M25)^(Worksheet!$B$20+5)*Worksheet!$G$10)/12*Request!$E25*Request!$J25,0),(IF(AND($S$4="Multi",$R$4="PY"),ROUND($E25*$J25*((1+$M25)^4)/12*Worksheet!$G$5,0),(IF(AND($S$4&lt;&gt;"Multi",$R$4="FY"),ROUND(((1+$S$4)^(Worksheet!$B$20+4)*Worksheet!$G$9+(1+$S$4)^(Worksheet!$B$20+5)*Worksheet!$G$10)/12*Request!$E25*Request!$J25,0),ROUND($E25*$J25*((1+$S$4)^4)/12*Worksheet!$G$5,0))))))</f>
        <v>0</v>
      </c>
      <c r="S25" s="155">
        <f t="shared" ca="1" si="0"/>
        <v>0</v>
      </c>
      <c r="T25" s="61"/>
      <c r="U25" s="61"/>
      <c r="V25" s="61"/>
      <c r="W25" s="61"/>
      <c r="X25" s="61"/>
    </row>
    <row r="26" spans="1:24" hidden="1">
      <c r="A26" s="162">
        <v>20</v>
      </c>
      <c r="B26" s="257"/>
      <c r="C26" s="257"/>
      <c r="D26" s="258"/>
      <c r="E26" s="183"/>
      <c r="F26" s="105"/>
      <c r="G26" s="105"/>
      <c r="H26" s="105"/>
      <c r="I26" s="105"/>
      <c r="J26" s="105"/>
      <c r="K26" s="58"/>
      <c r="L26" s="58"/>
      <c r="M26" s="163">
        <v>0.03</v>
      </c>
      <c r="N26" s="80">
        <f ca="1">IF(AND($S$4="Multi",$R$4="FY"),ROUND(((1+$M26)^Worksheet!$B$20*Worksheet!$C$9+(1+$M26)^(Worksheet!$B$20+1)*Worksheet!$C$10)/12*Request!$E26*Request!$F26,0),(IF(AND($S$4="Multi",$R$4="PY"),ROUND(E26*F26/12*Worksheet!$C$5,0),(IF(AND($S$4&lt;&gt;"Multi",$R$4="FY"),ROUND(((1+$S$4)^Worksheet!$B$20*Worksheet!$C$9+(1+$S$4)^(Worksheet!$B$20+1)*Worksheet!$C$10)/12*Request!$E26*Request!$F26,0),ROUND($E26*$F26/12*Worksheet!$C$5,0))))))</f>
        <v>0</v>
      </c>
      <c r="O26" s="80">
        <f ca="1">IF(AND($S$4="Multi",$R$4="FY"),ROUND(((1+$M26)^(Worksheet!$B$20+1)*Worksheet!$D$9+(1+$M26)^(Worksheet!$B$20+2)*Worksheet!$D$10)/12*Request!$E26*Request!$G26,0),(IF(AND($S$4="Multi",$R$4="PY"),ROUND($E26*$G26*(1+M26)/12*Worksheet!$D$5,0),(IF(AND($S$4&lt;&gt;"Multi",$R$4="FY"),ROUND(((1+$S$4)^(Worksheet!$B$20+1)*Worksheet!$D$9+(1+$S$4)^(Worksheet!$B$20+2)*Worksheet!$D$10)/12*Request!$E26*Request!$G26,0),ROUND($E26*$G26*(1+$S$4)/12*Worksheet!$D$5,0))))))</f>
        <v>0</v>
      </c>
      <c r="P26" s="80">
        <f ca="1">IF(AND($S$4="Multi",$R$4="FY"),ROUND(((1+$M26)^(Worksheet!$B$20+2)*Worksheet!$E$9+(1+$M26)^(Worksheet!$B$20+3)*Worksheet!$E$10)/12*Request!$E26*Request!H26,0),(IF(AND($S$4="Multi",$R$4="PY"),ROUND($E26*H26*((1+$M26)^2)/12*Worksheet!$E$5,0),(IF(AND($S$4&lt;&gt;"Multi",$R$4="FY"),ROUND(((1+$S$4)^(Worksheet!$B$20+2)*Worksheet!$E$9+(1+$S$4)^(Worksheet!$B$20+3)*Worksheet!$E$10)/12*Request!$E26*Request!H26,0),ROUND($E26*H26*((1+$S$4)^2)/12*Worksheet!$E$5,0))))))</f>
        <v>0</v>
      </c>
      <c r="Q26" s="80">
        <f ca="1">IF(AND($S$4="Multi",$R$4="FY"),ROUND(((1+$M26)^(Worksheet!$B$20+3)*Worksheet!$F$9+(1+$M26)^(Worksheet!$B$20+4)*Worksheet!$F$10)/12*Request!$E26*Request!$I26,0),(IF(AND($S$4="Multi",$R$4="PY"),ROUND($E26*$I26*((1+$M26)^3)/12*Worksheet!$F$5,0),(IF(AND($S$4&lt;&gt;"Multi",$R$4="FY"),ROUND(((1+$S$4)^(Worksheet!$B$20+3)*Worksheet!$F$9+(1+$S$4)^(Worksheet!$B$20+4)*Worksheet!$F$10)/12*Request!$E26*Request!$I26,0),ROUND($E26*$I26*((1+$S$4)^3)/12*Worksheet!$F$5,0))))))</f>
        <v>0</v>
      </c>
      <c r="R26" s="80">
        <f ca="1">IF(AND($S$4="Multi",$R$4="FY"),ROUND(((1+$M26)^(Worksheet!$B$20+4)*Worksheet!$G$9+(1+$M26)^(Worksheet!$B$20+5)*Worksheet!$G$10)/12*Request!$E26*Request!$J26,0),(IF(AND($S$4="Multi",$R$4="PY"),ROUND($E26*$J26*((1+$M26)^4)/12*Worksheet!$G$5,0),(IF(AND($S$4&lt;&gt;"Multi",$R$4="FY"),ROUND(((1+$S$4)^(Worksheet!$B$20+4)*Worksheet!$G$9+(1+$S$4)^(Worksheet!$B$20+5)*Worksheet!$G$10)/12*Request!$E26*Request!$J26,0),ROUND($E26*$J26*((1+$S$4)^4)/12*Worksheet!$G$5,0))))))</f>
        <v>0</v>
      </c>
      <c r="S26" s="155">
        <f t="shared" ca="1" si="0"/>
        <v>0</v>
      </c>
      <c r="T26" s="61"/>
      <c r="U26" s="61"/>
      <c r="V26" s="61"/>
      <c r="W26" s="61"/>
      <c r="X26" s="61"/>
    </row>
    <row r="27" spans="1:24" hidden="1">
      <c r="A27" s="162">
        <v>21</v>
      </c>
      <c r="B27" s="257"/>
      <c r="C27" s="257"/>
      <c r="D27" s="258"/>
      <c r="E27" s="183"/>
      <c r="F27" s="105"/>
      <c r="G27" s="105"/>
      <c r="H27" s="105"/>
      <c r="I27" s="105"/>
      <c r="J27" s="105"/>
      <c r="K27" s="58"/>
      <c r="L27" s="58"/>
      <c r="M27" s="163">
        <v>0.03</v>
      </c>
      <c r="N27" s="80">
        <f ca="1">IF(AND($S$4="Multi",$R$4="FY"),ROUND(((1+$M27)^Worksheet!$B$20*Worksheet!$C$9+(1+$M27)^(Worksheet!$B$20+1)*Worksheet!$C$10)/12*Request!$E27*Request!$F27,0),(IF(AND($S$4="Multi",$R$4="PY"),ROUND(E27*F27/12*Worksheet!$C$5,0),(IF(AND($S$4&lt;&gt;"Multi",$R$4="FY"),ROUND(((1+$S$4)^Worksheet!$B$20*Worksheet!$C$9+(1+$S$4)^(Worksheet!$B$20+1)*Worksheet!$C$10)/12*Request!$E27*Request!$F27,0),ROUND($E27*$F27/12*Worksheet!$C$5,0))))))</f>
        <v>0</v>
      </c>
      <c r="O27" s="80">
        <f ca="1">IF(AND($S$4="Multi",$R$4="FY"),ROUND(((1+$M27)^(Worksheet!$B$20+1)*Worksheet!$D$9+(1+$M27)^(Worksheet!$B$20+2)*Worksheet!$D$10)/12*Request!$E27*Request!$G27,0),(IF(AND($S$4="Multi",$R$4="PY"),ROUND($E27*$G27*(1+M27)/12*Worksheet!$D$5,0),(IF(AND($S$4&lt;&gt;"Multi",$R$4="FY"),ROUND(((1+$S$4)^(Worksheet!$B$20+1)*Worksheet!$D$9+(1+$S$4)^(Worksheet!$B$20+2)*Worksheet!$D$10)/12*Request!$E27*Request!$G27,0),ROUND($E27*$G27*(1+$S$4)/12*Worksheet!$D$5,0))))))</f>
        <v>0</v>
      </c>
      <c r="P27" s="80">
        <f ca="1">IF(AND($S$4="Multi",$R$4="FY"),ROUND(((1+$M27)^(Worksheet!$B$20+2)*Worksheet!$E$9+(1+$M27)^(Worksheet!$B$20+3)*Worksheet!$E$10)/12*Request!$E27*Request!H27,0),(IF(AND($S$4="Multi",$R$4="PY"),ROUND($E27*H27*((1+$M27)^2)/12*Worksheet!$E$5,0),(IF(AND($S$4&lt;&gt;"Multi",$R$4="FY"),ROUND(((1+$S$4)^(Worksheet!$B$20+2)*Worksheet!$E$9+(1+$S$4)^(Worksheet!$B$20+3)*Worksheet!$E$10)/12*Request!$E27*Request!H27,0),ROUND($E27*H27*((1+$S$4)^2)/12*Worksheet!$E$5,0))))))</f>
        <v>0</v>
      </c>
      <c r="Q27" s="80">
        <f ca="1">IF(AND($S$4="Multi",$R$4="FY"),ROUND(((1+$M27)^(Worksheet!$B$20+3)*Worksheet!$F$9+(1+$M27)^(Worksheet!$B$20+4)*Worksheet!$F$10)/12*Request!$E27*Request!$I27,0),(IF(AND($S$4="Multi",$R$4="PY"),ROUND($E27*$I27*((1+$M27)^3)/12*Worksheet!$F$5,0),(IF(AND($S$4&lt;&gt;"Multi",$R$4="FY"),ROUND(((1+$S$4)^(Worksheet!$B$20+3)*Worksheet!$F$9+(1+$S$4)^(Worksheet!$B$20+4)*Worksheet!$F$10)/12*Request!$E27*Request!$I27,0),ROUND($E27*$I27*((1+$S$4)^3)/12*Worksheet!$F$5,0))))))</f>
        <v>0</v>
      </c>
      <c r="R27" s="80">
        <f ca="1">IF(AND($S$4="Multi",$R$4="FY"),ROUND(((1+$M27)^(Worksheet!$B$20+4)*Worksheet!$G$9+(1+$M27)^(Worksheet!$B$20+5)*Worksheet!$G$10)/12*Request!$E27*Request!$J27,0),(IF(AND($S$4="Multi",$R$4="PY"),ROUND($E27*$J27*((1+$M27)^4)/12*Worksheet!$G$5,0),(IF(AND($S$4&lt;&gt;"Multi",$R$4="FY"),ROUND(((1+$S$4)^(Worksheet!$B$20+4)*Worksheet!$G$9+(1+$S$4)^(Worksheet!$B$20+5)*Worksheet!$G$10)/12*Request!$E27*Request!$J27,0),ROUND($E27*$J27*((1+$S$4)^4)/12*Worksheet!$G$5,0))))))</f>
        <v>0</v>
      </c>
      <c r="S27" s="155">
        <f t="shared" ca="1" si="0"/>
        <v>0</v>
      </c>
      <c r="T27" s="61"/>
      <c r="U27" s="61"/>
      <c r="V27" s="61"/>
      <c r="W27" s="61"/>
      <c r="X27" s="61"/>
    </row>
    <row r="28" spans="1:24" hidden="1">
      <c r="A28" s="162">
        <v>22</v>
      </c>
      <c r="B28" s="257"/>
      <c r="C28" s="257"/>
      <c r="D28" s="258"/>
      <c r="E28" s="183"/>
      <c r="F28" s="105"/>
      <c r="G28" s="105"/>
      <c r="H28" s="105"/>
      <c r="I28" s="105"/>
      <c r="J28" s="105"/>
      <c r="K28" s="58"/>
      <c r="L28" s="58"/>
      <c r="M28" s="163">
        <v>0.03</v>
      </c>
      <c r="N28" s="80">
        <f ca="1">IF(AND($S$4="Multi",$R$4="FY"),ROUND(((1+$M28)^Worksheet!$B$20*Worksheet!$C$9+(1+$M28)^(Worksheet!$B$20+1)*Worksheet!$C$10)/12*Request!$E28*Request!$F28,0),(IF(AND($S$4="Multi",$R$4="PY"),ROUND(E28*F28/12*Worksheet!$C$5,0),(IF(AND($S$4&lt;&gt;"Multi",$R$4="FY"),ROUND(((1+$S$4)^Worksheet!$B$20*Worksheet!$C$9+(1+$S$4)^(Worksheet!$B$20+1)*Worksheet!$C$10)/12*Request!$E28*Request!$F28,0),ROUND($E28*$F28/12*Worksheet!$C$5,0))))))</f>
        <v>0</v>
      </c>
      <c r="O28" s="80">
        <f ca="1">IF(AND($S$4="Multi",$R$4="FY"),ROUND(((1+$M28)^(Worksheet!$B$20+1)*Worksheet!$D$9+(1+$M28)^(Worksheet!$B$20+2)*Worksheet!$D$10)/12*Request!$E28*Request!$G28,0),(IF(AND($S$4="Multi",$R$4="PY"),ROUND($E28*$G28*(1+M28)/12*Worksheet!$D$5,0),(IF(AND($S$4&lt;&gt;"Multi",$R$4="FY"),ROUND(((1+$S$4)^(Worksheet!$B$20+1)*Worksheet!$D$9+(1+$S$4)^(Worksheet!$B$20+2)*Worksheet!$D$10)/12*Request!$E28*Request!$G28,0),ROUND($E28*$G28*(1+$S$4)/12*Worksheet!$D$5,0))))))</f>
        <v>0</v>
      </c>
      <c r="P28" s="80">
        <f ca="1">IF(AND($S$4="Multi",$R$4="FY"),ROUND(((1+$M28)^(Worksheet!$B$20+2)*Worksheet!$E$9+(1+$M28)^(Worksheet!$B$20+3)*Worksheet!$E$10)/12*Request!$E28*Request!H28,0),(IF(AND($S$4="Multi",$R$4="PY"),ROUND($E28*H28*((1+$M28)^2)/12*Worksheet!$E$5,0),(IF(AND($S$4&lt;&gt;"Multi",$R$4="FY"),ROUND(((1+$S$4)^(Worksheet!$B$20+2)*Worksheet!$E$9+(1+$S$4)^(Worksheet!$B$20+3)*Worksheet!$E$10)/12*Request!$E28*Request!H28,0),ROUND($E28*H28*((1+$S$4)^2)/12*Worksheet!$E$5,0))))))</f>
        <v>0</v>
      </c>
      <c r="Q28" s="80">
        <f ca="1">IF(AND($S$4="Multi",$R$4="FY"),ROUND(((1+$M28)^(Worksheet!$B$20+3)*Worksheet!$F$9+(1+$M28)^(Worksheet!$B$20+4)*Worksheet!$F$10)/12*Request!$E28*Request!$I28,0),(IF(AND($S$4="Multi",$R$4="PY"),ROUND($E28*$I28*((1+$M28)^3)/12*Worksheet!$F$5,0),(IF(AND($S$4&lt;&gt;"Multi",$R$4="FY"),ROUND(((1+$S$4)^(Worksheet!$B$20+3)*Worksheet!$F$9+(1+$S$4)^(Worksheet!$B$20+4)*Worksheet!$F$10)/12*Request!$E28*Request!$I28,0),ROUND($E28*$I28*((1+$S$4)^3)/12*Worksheet!$F$5,0))))))</f>
        <v>0</v>
      </c>
      <c r="R28" s="80">
        <f ca="1">IF(AND($S$4="Multi",$R$4="FY"),ROUND(((1+$M28)^(Worksheet!$B$20+4)*Worksheet!$G$9+(1+$M28)^(Worksheet!$B$20+5)*Worksheet!$G$10)/12*Request!$E28*Request!$J28,0),(IF(AND($S$4="Multi",$R$4="PY"),ROUND($E28*$J28*((1+$M28)^4)/12*Worksheet!$G$5,0),(IF(AND($S$4&lt;&gt;"Multi",$R$4="FY"),ROUND(((1+$S$4)^(Worksheet!$B$20+4)*Worksheet!$G$9+(1+$S$4)^(Worksheet!$B$20+5)*Worksheet!$G$10)/12*Request!$E28*Request!$J28,0),ROUND($E28*$J28*((1+$S$4)^4)/12*Worksheet!$G$5,0))))))</f>
        <v>0</v>
      </c>
      <c r="S28" s="155">
        <f t="shared" ca="1" si="0"/>
        <v>0</v>
      </c>
      <c r="T28" s="61"/>
      <c r="U28" s="61"/>
      <c r="V28" s="61"/>
      <c r="W28" s="61"/>
      <c r="X28" s="61"/>
    </row>
    <row r="29" spans="1:24" hidden="1">
      <c r="A29" s="162">
        <v>23</v>
      </c>
      <c r="B29" s="257"/>
      <c r="C29" s="257"/>
      <c r="D29" s="258"/>
      <c r="E29" s="183"/>
      <c r="F29" s="105"/>
      <c r="G29" s="105"/>
      <c r="H29" s="105"/>
      <c r="I29" s="105"/>
      <c r="J29" s="105"/>
      <c r="K29" s="58"/>
      <c r="L29" s="58"/>
      <c r="M29" s="163">
        <v>0.03</v>
      </c>
      <c r="N29" s="80">
        <f ca="1">IF(AND($S$4="Multi",$R$4="FY"),ROUND(((1+$M29)^Worksheet!$B$20*Worksheet!$C$9+(1+$M29)^(Worksheet!$B$20+1)*Worksheet!$C$10)/12*Request!$E29*Request!$F29,0),(IF(AND($S$4="Multi",$R$4="PY"),ROUND(E29*F29/12*Worksheet!$C$5,0),(IF(AND($S$4&lt;&gt;"Multi",$R$4="FY"),ROUND(((1+$S$4)^Worksheet!$B$20*Worksheet!$C$9+(1+$S$4)^(Worksheet!$B$20+1)*Worksheet!$C$10)/12*Request!$E29*Request!$F29,0),ROUND($E29*$F29/12*Worksheet!$C$5,0))))))</f>
        <v>0</v>
      </c>
      <c r="O29" s="80">
        <f ca="1">IF(AND($S$4="Multi",$R$4="FY"),ROUND(((1+$M29)^(Worksheet!$B$20+1)*Worksheet!$D$9+(1+$M29)^(Worksheet!$B$20+2)*Worksheet!$D$10)/12*Request!$E29*Request!$G29,0),(IF(AND($S$4="Multi",$R$4="PY"),ROUND($E29*$G29*(1+M29)/12*Worksheet!$D$5,0),(IF(AND($S$4&lt;&gt;"Multi",$R$4="FY"),ROUND(((1+$S$4)^(Worksheet!$B$20+1)*Worksheet!$D$9+(1+$S$4)^(Worksheet!$B$20+2)*Worksheet!$D$10)/12*Request!$E29*Request!$G29,0),ROUND($E29*$G29*(1+$S$4)/12*Worksheet!$D$5,0))))))</f>
        <v>0</v>
      </c>
      <c r="P29" s="80">
        <f ca="1">IF(AND($S$4="Multi",$R$4="FY"),ROUND(((1+$M29)^(Worksheet!$B$20+2)*Worksheet!$E$9+(1+$M29)^(Worksheet!$B$20+3)*Worksheet!$E$10)/12*Request!$E29*Request!H29,0),(IF(AND($S$4="Multi",$R$4="PY"),ROUND($E29*H29*((1+$M29)^2)/12*Worksheet!$E$5,0),(IF(AND($S$4&lt;&gt;"Multi",$R$4="FY"),ROUND(((1+$S$4)^(Worksheet!$B$20+2)*Worksheet!$E$9+(1+$S$4)^(Worksheet!$B$20+3)*Worksheet!$E$10)/12*Request!$E29*Request!H29,0),ROUND($E29*H29*((1+$S$4)^2)/12*Worksheet!$E$5,0))))))</f>
        <v>0</v>
      </c>
      <c r="Q29" s="80">
        <f ca="1">IF(AND($S$4="Multi",$R$4="FY"),ROUND(((1+$M29)^(Worksheet!$B$20+3)*Worksheet!$F$9+(1+$M29)^(Worksheet!$B$20+4)*Worksheet!$F$10)/12*Request!$E29*Request!$I29,0),(IF(AND($S$4="Multi",$R$4="PY"),ROUND($E29*$I29*((1+$M29)^3)/12*Worksheet!$F$5,0),(IF(AND($S$4&lt;&gt;"Multi",$R$4="FY"),ROUND(((1+$S$4)^(Worksheet!$B$20+3)*Worksheet!$F$9+(1+$S$4)^(Worksheet!$B$20+4)*Worksheet!$F$10)/12*Request!$E29*Request!$I29,0),ROUND($E29*$I29*((1+$S$4)^3)/12*Worksheet!$F$5,0))))))</f>
        <v>0</v>
      </c>
      <c r="R29" s="80">
        <f ca="1">IF(AND($S$4="Multi",$R$4="FY"),ROUND(((1+$M29)^(Worksheet!$B$20+4)*Worksheet!$G$9+(1+$M29)^(Worksheet!$B$20+5)*Worksheet!$G$10)/12*Request!$E29*Request!$J29,0),(IF(AND($S$4="Multi",$R$4="PY"),ROUND($E29*$J29*((1+$M29)^4)/12*Worksheet!$G$5,0),(IF(AND($S$4&lt;&gt;"Multi",$R$4="FY"),ROUND(((1+$S$4)^(Worksheet!$B$20+4)*Worksheet!$G$9+(1+$S$4)^(Worksheet!$B$20+5)*Worksheet!$G$10)/12*Request!$E29*Request!$J29,0),ROUND($E29*$J29*((1+$S$4)^4)/12*Worksheet!$G$5,0))))))</f>
        <v>0</v>
      </c>
      <c r="S29" s="155">
        <f t="shared" ca="1" si="0"/>
        <v>0</v>
      </c>
      <c r="T29" s="61"/>
      <c r="U29" s="61"/>
      <c r="V29" s="61"/>
      <c r="W29" s="61"/>
      <c r="X29" s="61"/>
    </row>
    <row r="30" spans="1:24" hidden="1">
      <c r="A30" s="162">
        <v>24</v>
      </c>
      <c r="B30" s="257"/>
      <c r="C30" s="257"/>
      <c r="D30" s="258"/>
      <c r="E30" s="183"/>
      <c r="F30" s="105"/>
      <c r="G30" s="105"/>
      <c r="H30" s="105"/>
      <c r="I30" s="105"/>
      <c r="J30" s="105"/>
      <c r="K30" s="104"/>
      <c r="L30" s="104"/>
      <c r="M30" s="163">
        <v>0.03</v>
      </c>
      <c r="N30" s="80">
        <f ca="1">IF(AND($S$4="Multi",$R$4="FY"),ROUND(((1+$M30)^Worksheet!$B$20*Worksheet!$C$9+(1+$M30)^(Worksheet!$B$20+1)*Worksheet!$C$10)/12*Request!$E30*Request!$F30,0),(IF(AND($S$4="Multi",$R$4="PY"),ROUND(E30*F30/12*Worksheet!$C$5,0),(IF(AND($S$4&lt;&gt;"Multi",$R$4="FY"),ROUND(((1+$S$4)^Worksheet!$B$20*Worksheet!$C$9+(1+$S$4)^(Worksheet!$B$20+1)*Worksheet!$C$10)/12*Request!$E30*Request!$F30,0),ROUND($E30*$F30/12*Worksheet!$C$5,0))))))</f>
        <v>0</v>
      </c>
      <c r="O30" s="80">
        <f ca="1">IF(AND($S$4="Multi",$R$4="FY"),ROUND(((1+$M30)^(Worksheet!$B$20+1)*Worksheet!$D$9+(1+$M30)^(Worksheet!$B$20+2)*Worksheet!$D$10)/12*Request!$E30*Request!$G30,0),(IF(AND($S$4="Multi",$R$4="PY"),ROUND($E30*$G30*(1+M30)/12*Worksheet!$D$5,0),(IF(AND($S$4&lt;&gt;"Multi",$R$4="FY"),ROUND(((1+$S$4)^(Worksheet!$B$20+1)*Worksheet!$D$9+(1+$S$4)^(Worksheet!$B$20+2)*Worksheet!$D$10)/12*Request!$E30*Request!$G30,0),ROUND($E30*$G30*(1+$S$4)/12*Worksheet!$D$5,0))))))</f>
        <v>0</v>
      </c>
      <c r="P30" s="80">
        <f ca="1">IF(AND($S$4="Multi",$R$4="FY"),ROUND(((1+$M30)^(Worksheet!$B$20+2)*Worksheet!$E$9+(1+$M30)^(Worksheet!$B$20+3)*Worksheet!$E$10)/12*Request!$E30*Request!H30,0),(IF(AND($S$4="Multi",$R$4="PY"),ROUND($E30*H30*((1+$M30)^2)/12*Worksheet!$E$5,0),(IF(AND($S$4&lt;&gt;"Multi",$R$4="FY"),ROUND(((1+$S$4)^(Worksheet!$B$20+2)*Worksheet!$E$9+(1+$S$4)^(Worksheet!$B$20+3)*Worksheet!$E$10)/12*Request!$E30*Request!H30,0),ROUND($E30*H30*((1+$S$4)^2)/12*Worksheet!$E$5,0))))))</f>
        <v>0</v>
      </c>
      <c r="Q30" s="80">
        <f ca="1">IF(AND($S$4="Multi",$R$4="FY"),ROUND(((1+$M30)^(Worksheet!$B$20+3)*Worksheet!$F$9+(1+$M30)^(Worksheet!$B$20+4)*Worksheet!$F$10)/12*Request!$E30*Request!$I30,0),(IF(AND($S$4="Multi",$R$4="PY"),ROUND($E30*$I30*((1+$M30)^3)/12*Worksheet!$F$5,0),(IF(AND($S$4&lt;&gt;"Multi",$R$4="FY"),ROUND(((1+$S$4)^(Worksheet!$B$20+3)*Worksheet!$F$9+(1+$S$4)^(Worksheet!$B$20+4)*Worksheet!$F$10)/12*Request!$E30*Request!$I30,0),ROUND($E30*$I30*((1+$S$4)^3)/12*Worksheet!$F$5,0))))))</f>
        <v>0</v>
      </c>
      <c r="R30" s="80">
        <f ca="1">IF(AND($S$4="Multi",$R$4="FY"),ROUND(((1+$M30)^(Worksheet!$B$20+4)*Worksheet!$G$9+(1+$M30)^(Worksheet!$B$20+5)*Worksheet!$G$10)/12*Request!$E30*Request!$J30,0),(IF(AND($S$4="Multi",$R$4="PY"),ROUND($E30*$J30*((1+$M30)^4)/12*Worksheet!$G$5,0),(IF(AND($S$4&lt;&gt;"Multi",$R$4="FY"),ROUND(((1+$S$4)^(Worksheet!$B$20+4)*Worksheet!$G$9+(1+$S$4)^(Worksheet!$B$20+5)*Worksheet!$G$10)/12*Request!$E30*Request!$J30,0),ROUND($E30*$J30*((1+$S$4)^4)/12*Worksheet!$G$5,0))))))</f>
        <v>0</v>
      </c>
      <c r="S30" s="155">
        <f t="shared" ca="1" si="0"/>
        <v>0</v>
      </c>
      <c r="T30" s="61"/>
      <c r="U30" s="61"/>
      <c r="V30" s="61"/>
      <c r="W30" s="61"/>
      <c r="X30" s="61"/>
    </row>
    <row r="31" spans="1:24">
      <c r="A31" s="266" t="s">
        <v>5</v>
      </c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8"/>
      <c r="N31" s="158">
        <f ca="1">SUM(N7:N30)</f>
        <v>72120</v>
      </c>
      <c r="O31" s="158">
        <f ca="1">SUM(O7:O30)</f>
        <v>74621</v>
      </c>
      <c r="P31" s="158">
        <f t="shared" ref="P31:Q31" ca="1" si="1">SUM(P7:P30)</f>
        <v>76859</v>
      </c>
      <c r="Q31" s="158">
        <f t="shared" ca="1" si="1"/>
        <v>0</v>
      </c>
      <c r="R31" s="158">
        <f ca="1">SUM(R7:R30)</f>
        <v>0</v>
      </c>
      <c r="S31" s="158">
        <f ca="1">SUM(S7:S30)</f>
        <v>223600</v>
      </c>
    </row>
    <row r="32" spans="1:24" ht="9" customHeight="1">
      <c r="A32" s="62"/>
      <c r="B32" s="62"/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64"/>
      <c r="P32" s="64"/>
      <c r="Q32" s="64"/>
      <c r="R32" s="64"/>
      <c r="S32" s="64"/>
    </row>
    <row r="33" spans="1:24">
      <c r="D33" s="185" t="s">
        <v>66</v>
      </c>
      <c r="E33" s="178" t="str">
        <f>Worksheet!C9&amp;"/"&amp;Worksheet!C10</f>
        <v>10/2</v>
      </c>
      <c r="F33" s="269" t="str">
        <f>Worksheet!D9&amp;"/"&amp;Worksheet!D10</f>
        <v>10/2</v>
      </c>
      <c r="G33" s="269"/>
      <c r="H33" s="269" t="str">
        <f>Worksheet!E9&amp;"/"&amp;Worksheet!E10</f>
        <v>10/2</v>
      </c>
      <c r="I33" s="269"/>
      <c r="J33" s="269" t="str">
        <f>Worksheet!F9&amp;"/"&amp;Worksheet!F10</f>
        <v>0/0</v>
      </c>
      <c r="K33" s="269"/>
      <c r="L33" s="269" t="str">
        <f>Worksheet!G9&amp;"/"&amp;Worksheet!G10</f>
        <v>0/0</v>
      </c>
      <c r="M33" s="269"/>
    </row>
    <row r="34" spans="1:24">
      <c r="A34" s="272" t="s">
        <v>18</v>
      </c>
      <c r="B34" s="273"/>
      <c r="C34" s="274"/>
      <c r="D34" s="177" t="s">
        <v>6</v>
      </c>
      <c r="E34" s="177" t="s">
        <v>19</v>
      </c>
      <c r="F34" s="275" t="s">
        <v>19</v>
      </c>
      <c r="G34" s="276"/>
      <c r="H34" s="275" t="s">
        <v>19</v>
      </c>
      <c r="I34" s="276"/>
      <c r="J34" s="275" t="s">
        <v>19</v>
      </c>
      <c r="K34" s="276"/>
      <c r="L34" s="275" t="s">
        <v>19</v>
      </c>
      <c r="M34" s="276"/>
      <c r="N34" s="57" t="str">
        <f>N5</f>
        <v>Period 1</v>
      </c>
      <c r="O34" s="57" t="str">
        <f>O5</f>
        <v>Period 2</v>
      </c>
      <c r="P34" s="57" t="str">
        <f>P5</f>
        <v>Period 3</v>
      </c>
      <c r="Q34" s="57" t="str">
        <f>Q5</f>
        <v>Period 4</v>
      </c>
      <c r="R34" s="57" t="str">
        <f>R5</f>
        <v>Period 5</v>
      </c>
      <c r="S34" s="57" t="s">
        <v>14</v>
      </c>
    </row>
    <row r="35" spans="1:24">
      <c r="A35" s="162">
        <v>1</v>
      </c>
      <c r="B35" s="257" t="str">
        <f t="shared" ref="B35:B58" si="2">B7</f>
        <v>R. Grotjahn (PI)</v>
      </c>
      <c r="C35" s="233"/>
      <c r="D35" s="179" t="s">
        <v>179</v>
      </c>
      <c r="E35" s="179">
        <f>IF($D35=Worksheet!$A$59,Worksheet!B$59,IF($D35=Worksheet!$A$60,Worksheet!B$60,IF($D35=Worksheet!$A$61,Worksheet!B$61,IF($D35=Worksheet!$A$62,Worksheet!B$62,IF($D35=Worksheet!$A$63,Worksheet!B$63,IF($D35=Worksheet!$A$64,Worksheet!B$64,IF($D35=Worksheet!$A$65,Worksheet!B$65,IF($D35=Worksheet!$A$66,Worksheet!B$66,IF($D35=Worksheet!$A$67,Worksheet!B$67,IF($D35=Worksheet!$A$68,Worksheet!B269,IF($D35=Worksheet!$A$69,Worksheet!B269,IF($D35=Worksheet!$A$70,Worksheet!B269,IF($D35=Worksheet!$A$71,"")))))))))))))</f>
        <v>17</v>
      </c>
      <c r="F35" s="263">
        <f>IF($D35=Worksheet!$A$59,Worksheet!C$59,IF($D35=Worksheet!$A$60,Worksheet!C$60,IF($D35=Worksheet!$A$61,Worksheet!C$61,IF($D35=Worksheet!$A$62,Worksheet!C$62,IF($D35=Worksheet!$A$63,Worksheet!C$63,IF($D35=Worksheet!$A$64,Worksheet!C$64,IF($D35=Worksheet!$A$65,Worksheet!C$65,IF($D35=Worksheet!$A$66,Worksheet!C$66,IF($D35=Worksheet!$A$67,Worksheet!C$67,IF($D35=Worksheet!$A$68,Worksheet!D269,IF($D35=Worksheet!$A$69,Worksheet!D269,IF($D35=Worksheet!$A$70,Worksheet!D269,IF($D35=Worksheet!$A$71,"")))))))))))))</f>
        <v>18</v>
      </c>
      <c r="G35" s="264"/>
      <c r="H35" s="277">
        <f>IF($D35=Worksheet!$A$59,Worksheet!D$59,IF($D35=Worksheet!$A$60,Worksheet!D$60,IF($D35=Worksheet!$A$61,Worksheet!D$61,IF($D35=Worksheet!$A$62,Worksheet!D$62,IF($D35=Worksheet!$A$63,Worksheet!D$63,IF($D35=Worksheet!$A$64,Worksheet!D$64,IF($D35=Worksheet!$A$65,Worksheet!D$65,IF($D35=Worksheet!$A$66,Worksheet!D$66,IF($D35=Worksheet!$A$67,Worksheet!D$67,IF($D35=Worksheet!$A$68,Worksheet!F269,IF($D35=Worksheet!$A$69,Worksheet!F269,IF($D35=Worksheet!$A$70,Worksheet!F269,IF($D35=Worksheet!$A$71,"")))))))))))))</f>
        <v>18.5</v>
      </c>
      <c r="I35" s="278"/>
      <c r="J35" s="277"/>
      <c r="K35" s="278"/>
      <c r="L35" s="277"/>
      <c r="M35" s="278"/>
      <c r="N35" s="80">
        <f ca="1">IF(AND($D35="F-SMRA",N7=0),0,IF(AND($D35="F-SMRB",N7=0),0,IF(AND($D35="F-SMRC",N7=0),0,IF($D35=Worksheet!$A$68,Worksheet!B295,IF($D35=Worksheet!$A$69,Worksheet!B295,IF($D35=Worksheet!$A$70,Worksheet!B295,ROUND((Request!N7/Worksheet!$C$5*Worksheet!$C$9*(IF(Request!$D35=Worksheet!$A$47,Worksheet!B$47,IF(Request!$D35=Worksheet!$A$48,Worksheet!B$48,IF(Request!$D35=Worksheet!$A$49,Worksheet!B$49,IF(Request!$D35=Worksheet!$A$50,Worksheet!B$50,IF(Request!$D35=Worksheet!$A$51,Worksheet!B$51,IF(Request!$D35=Worksheet!$A$52,Worksheet!B$52,IF(Request!$D35=Worksheet!$A$53,Worksheet!B$53,IF(Request!$D35=Worksheet!$A$54,Worksheet!B$54,IF(Request!$D35=Worksheet!$A$55,Worksheet!B$55))))))))))),0)+ROUND(N7/Worksheet!$C$5*Worksheet!$C$10*(IF(Request!$D35=Worksheet!$A$47,Worksheet!C$47,IF(Request!$D35=Worksheet!$A$48,Worksheet!C$48,IF(Request!$D35=Worksheet!$A$49,Worksheet!C$49,IF(Request!$D35=Worksheet!$A$50,Worksheet!C$50,IF(Request!$D35=Worksheet!$A$51,Worksheet!C$51,IF(Request!$D35=Worksheet!$A$52,Worksheet!C$52,IF(Request!$D35=Worksheet!$A$53,Worksheet!C$53,IF(Request!$D35=Worksheet!$A$54,Worksheet!C$54,IF(Request!$D35=Worksheet!$A$55,Worksheet!C$55)))))))))),0)))))))</f>
        <v>1166</v>
      </c>
      <c r="O35" s="80">
        <f ca="1">IF(AND($D35="F-SMRA",O7=0),0,IF(AND($D35="F-SMRB",O7=0),0,IF(AND($D35="F-SMRC",O7=0),0,IF($D35=Worksheet!$A$68,Worksheet!D295,IF($D35=Worksheet!$A$69,Worksheet!D295,IF($D35=Worksheet!$A$70,Worksheet!D295,ROUND((Request!O7/Worksheet!$C$5*Worksheet!$C$9*(IF(Request!$D35=Worksheet!$A$47,Worksheet!D$47,IF(Request!$D35=Worksheet!$A$48,Worksheet!D$48,IF(Request!$D35=Worksheet!$A$49,Worksheet!D$49,IF(Request!$D35=Worksheet!$A$50,Worksheet!D$50,IF(Request!$D35=Worksheet!$A$51,Worksheet!D$51,IF(Request!$D35=Worksheet!$A$52,Worksheet!D$52,IF(Request!$D35=Worksheet!$A$53,Worksheet!D$53,IF(Request!$D35=Worksheet!$A$54,Worksheet!D$54,IF(Request!$D35=Worksheet!$A$55,Worksheet!D$55))))))))))),0)+ROUND(O7/Worksheet!$C$5*Worksheet!$C$10*(IF(Request!$D35=Worksheet!$A$47,Worksheet!E$47,IF(Request!$D35=Worksheet!$A$48,Worksheet!E$48,IF(Request!$D35=Worksheet!$A$49,Worksheet!E$49,IF(Request!$D35=Worksheet!$A$50,Worksheet!E$50,IF(Request!$D35=Worksheet!$A$51,Worksheet!E$51,IF(Request!$D35=Worksheet!$A$52,Worksheet!E$52,IF(Request!$D35=Worksheet!$A$53,Worksheet!E$53,IF(Request!$D35=Worksheet!$A$54,Worksheet!E$54,IF(Request!$D35=Worksheet!$A$55,Worksheet!E$55)))))))))),0)))))))</f>
        <v>1272</v>
      </c>
      <c r="P35" s="80">
        <f ca="1">IF(AND($D35="F-SMRA",P7=0),0,IF(AND($D35="F-SMRB",P7=0),0,IF(AND($D35="F-SMRC",P7=0),0,IF($D35=Worksheet!$A$68,Worksheet!F295,IF($D35=Worksheet!$A$69,Worksheet!F295,IF($D35=Worksheet!$A$70,Worksheet!F295,ROUND((Request!P7/Worksheet!$C$5*Worksheet!$C$9*(IF(Request!$D35=Worksheet!$A$47,Worksheet!F$47,IF(Request!$D35=Worksheet!$A$48,Worksheet!F$48,IF(Request!$D35=Worksheet!$A$49,Worksheet!F$49,IF(Request!$D35=Worksheet!$A$50,Worksheet!F$50,IF(Request!$D35=Worksheet!$A$51,Worksheet!F$51,IF(Request!$D35=Worksheet!$A$52,Worksheet!F$52,IF(Request!$D35=Worksheet!$A$53,Worksheet!F$53,IF(Request!$D35=Worksheet!$A$54,Worksheet!F$54,IF(Request!$D35=Worksheet!$A$55,Worksheet!F$55))))))))))),0)+ROUND(P7/Worksheet!$C$5*Worksheet!$C$10*(IF(Request!$D35=Worksheet!$A$47,Worksheet!G$47,IF(Request!$D35=Worksheet!$A$48,Worksheet!G$48,IF(Request!$D35=Worksheet!$A$49,Worksheet!G$49,IF(Request!$D35=Worksheet!$A$50,Worksheet!G$50,IF(Request!$D35=Worksheet!$A$51,Worksheet!G$51,IF(Request!$D35=Worksheet!$A$52,Worksheet!G$52,IF(Request!$D35=Worksheet!$A$53,Worksheet!G$53,IF(Request!$D35=Worksheet!$A$54,Worksheet!G$54,IF(Request!$D35=Worksheet!$A$55,Worksheet!G$55)))))))))),0)))))))</f>
        <v>1347</v>
      </c>
      <c r="Q35" s="80">
        <f ca="1">IF(AND($D35="F-SMRA",Q7=0),0,IF(AND($D35="F-SMRB",Q7=0),0,IF(AND($D35="F-SMRC",Q7=0),0,IF($D35=Worksheet!$A$68,Worksheet!H295,IF($D35=Worksheet!$A$69,Worksheet!H295,IF($D35=Worksheet!$A$70,Worksheet!H295,ROUND((Request!Q7/Worksheet!$C$5*Worksheet!$C$9*(IF(Request!$D35=Worksheet!$A$47,Worksheet!H$47,IF(Request!$D35=Worksheet!$A$48,Worksheet!H$48,IF(Request!$D35=Worksheet!$A$49,Worksheet!H$49,IF(Request!$D35=Worksheet!$A$50,Worksheet!H$50,IF(Request!$D35=Worksheet!$A$51,Worksheet!H$51,IF(Request!$D35=Worksheet!$A$52,Worksheet!H$52,IF(Request!$D35=Worksheet!$A$53,Worksheet!H$53,IF(Request!$D35=Worksheet!$A$54,Worksheet!H$54,IF(Request!$D35=Worksheet!$A$55,Worksheet!H$55))))))))))),0)+ROUND(Q7/Worksheet!$C$5*Worksheet!$C$10*(IF(Request!$D35=Worksheet!$A$47,Worksheet!I$47,IF(Request!$D35=Worksheet!$A$48,Worksheet!I$48,IF(Request!$D35=Worksheet!$A$49,Worksheet!I$49,IF(Request!$D35=Worksheet!$A$50,Worksheet!I$50,IF(Request!$D35=Worksheet!$A$51,Worksheet!I$51,IF(Request!$D35=Worksheet!$A$52,Worksheet!I$52,IF(Request!$D35=Worksheet!$A$53,Worksheet!I$53,IF(Request!$D35=Worksheet!$A$54,Worksheet!I$54,IF(Request!$D35=Worksheet!$A$55,Worksheet!I$55)))))))))),0)))))))</f>
        <v>0</v>
      </c>
      <c r="R35" s="80">
        <f ca="1">IF(AND($D35="F-SMRA",R7=0),0,IF(AND($D35="F-SMRB",R7=0),0,IF(AND($D35="F-SMRC",R7=0),0,IF($D35=Worksheet!$A$68,Worksheet!J295,IF($D35=Worksheet!$A$69,Worksheet!J295,IF($D35=Worksheet!$A$70,Worksheet!J295,ROUND((Request!R7/Worksheet!$C$5*Worksheet!$C$9*(IF(Request!$D35=Worksheet!$A$47,Worksheet!J$47,IF(Request!$D35=Worksheet!$A$48,Worksheet!J$48,IF(Request!$D35=Worksheet!$A$49,Worksheet!J$49,IF(Request!$D35=Worksheet!$A$50,Worksheet!J$50,IF(Request!$D35=Worksheet!$A$51,Worksheet!J$51,IF(Request!$D35=Worksheet!$A$52,Worksheet!J$52,IF(Request!$D35=Worksheet!$A$53,Worksheet!J$53,IF(Request!$D35=Worksheet!$A$54,Worksheet!J$54,IF(Request!$D35=Worksheet!$A$55,Worksheet!J$55))))))))))),0)+ROUND(R7/Worksheet!$C$5*Worksheet!$C$10*(IF(Request!$D35=Worksheet!$A$47,Worksheet!K$47,IF(Request!$D35=Worksheet!$A$48,Worksheet!K$48,IF(Request!$D35=Worksheet!$A$49,Worksheet!K$49,IF(Request!$D35=Worksheet!$A$50,Worksheet!K$50,IF(Request!$D35=Worksheet!$A$51,Worksheet!K$51,IF(Request!$D35=Worksheet!$A$52,Worksheet!K$52,IF(Request!$D35=Worksheet!$A$53,Worksheet!K$53,IF(Request!$D35=Worksheet!$A$54,Worksheet!K$54,IF(Request!$D35=Worksheet!$A$55,Worksheet!K$55)))))))))),0)))))))</f>
        <v>0</v>
      </c>
      <c r="S35" s="80">
        <f ca="1">SUM(N35:R35)</f>
        <v>3785</v>
      </c>
      <c r="T35" s="65"/>
      <c r="U35" s="65"/>
      <c r="V35" s="65"/>
      <c r="W35" s="65"/>
      <c r="X35" s="65"/>
    </row>
    <row r="36" spans="1:24">
      <c r="A36" s="162">
        <v>2</v>
      </c>
      <c r="B36" s="257" t="str">
        <f t="shared" si="2"/>
        <v>P. Ullrich (co-PI)</v>
      </c>
      <c r="C36" s="233"/>
      <c r="D36" s="179" t="s">
        <v>179</v>
      </c>
      <c r="E36" s="202" t="str">
        <f>IF($D36=Worksheet!$A$59,Worksheet!B$59,IF($D36=Worksheet!$A$60,Worksheet!B$60,IF($D36=Worksheet!$A$61,Worksheet!B$61,IF($D36=Worksheet!$A$62,Worksheet!B$62,IF($D36=Worksheet!$A$63,Worksheet!B$63,IF($D36=Worksheet!$A$64,Worksheet!B$64,IF($D36=Worksheet!$A$65,Worksheet!B$65,IF($D36=Worksheet!$A$66,Worksheet!B$66,IF($D36=Worksheet!$A$67,Worksheet!B$67,IF($D36=Worksheet!$A$68,Worksheet!B270,IF($D36=Worksheet!$A$69,Worksheet!B270,IF($D36=Worksheet!$A$70,Worksheet!B270,IF($D36=Worksheet!$A$71,"")))))))))))))</f>
        <v>17/18</v>
      </c>
      <c r="F36" s="263" t="str">
        <f>IF($D36=Worksheet!$A$59,Worksheet!C$59,IF($D36=Worksheet!$A$60,Worksheet!C$60,IF($D36=Worksheet!$A$61,Worksheet!C$61,IF($D36=Worksheet!$A$62,Worksheet!C$62,IF($D36=Worksheet!$A$63,Worksheet!C$63,IF($D36=Worksheet!$A$64,Worksheet!C$64,IF($D36=Worksheet!$A$65,Worksheet!C$65,IF($D36=Worksheet!$A$66,Worksheet!C$66,IF($D36=Worksheet!$A$67,Worksheet!C$67,IF($D36=Worksheet!$A$68,Worksheet!D270,IF($D36=Worksheet!$A$69,Worksheet!D270,IF($D36=Worksheet!$A$70,Worksheet!D270,IF($D36=Worksheet!$A$71,"")))))))))))))</f>
        <v>18/18.5</v>
      </c>
      <c r="G36" s="264"/>
      <c r="H36" s="277" t="str">
        <f>IF($D36=Worksheet!$A$59,Worksheet!D$59,IF($D36=Worksheet!$A$60,Worksheet!D$60,IF($D36=Worksheet!$A$61,Worksheet!D$61,IF($D36=Worksheet!$A$62,Worksheet!D$62,IF($D36=Worksheet!$A$63,Worksheet!D$63,IF($D36=Worksheet!$A$64,Worksheet!D$64,IF($D36=Worksheet!$A$65,Worksheet!D$65,IF($D36=Worksheet!$A$66,Worksheet!D$66,IF($D36=Worksheet!$A$67,Worksheet!D$67,IF($D36=Worksheet!$A$68,Worksheet!F270,IF($D36=Worksheet!$A$69,Worksheet!F270,IF($D36=Worksheet!$A$70,Worksheet!F270,IF($D36=Worksheet!$A$71,"")))))))))))))</f>
        <v>18.5/19.1</v>
      </c>
      <c r="I36" s="278"/>
      <c r="J36" s="277"/>
      <c r="K36" s="278"/>
      <c r="L36" s="277"/>
      <c r="M36" s="278"/>
      <c r="N36" s="80">
        <f ca="1">IF(AND(D36="F-SMRA",N8=0),0,IF(AND(D36="F-SMRB",N8=0),0,IF(AND(D36="F-SMRC",N8=0),0,IF($D36=Worksheet!$A$68,Worksheet!B296,IF($D36=Worksheet!$A$69,Worksheet!B296,IF($D36=Worksheet!$A$70,Worksheet!B296,ROUND((Request!N8/Worksheet!$C$5*Worksheet!$C$9*(IF(Request!$D36=Worksheet!$A$47,Worksheet!B$47,IF(Request!$D36=Worksheet!$A$48,Worksheet!B$48,IF(Request!$D36=Worksheet!$A$49,Worksheet!B$49,IF(Request!$D36=Worksheet!$A$50,Worksheet!B$50,IF(Request!$D36=Worksheet!$A$51,Worksheet!B$51,IF(Request!$D36=Worksheet!$A$52,Worksheet!B$52,IF(Request!$D36=Worksheet!$A$53,Worksheet!B$53,IF(Request!$D36=Worksheet!$A$54,Worksheet!B$54,IF(Request!$D36=Worksheet!$A$55,Worksheet!B$55))))))))))),0)+ROUND(N8/Worksheet!$C$5*Worksheet!$C$10*(IF(Request!$D36=Worksheet!$A$47,Worksheet!C$47,IF(Request!$D36=Worksheet!$A$48,Worksheet!C$48,IF(Request!$D36=Worksheet!$A$49,Worksheet!C$49,IF(Request!$D36=Worksheet!$A$50,Worksheet!C$50,IF(Request!$D36=Worksheet!$A$51,Worksheet!C$51,IF(Request!$D36=Worksheet!$A$52,Worksheet!C$52,IF(Request!$D36=Worksheet!$A$53,Worksheet!C$53,IF(Request!$D36=Worksheet!$A$54,Worksheet!C$54,IF(Request!$D36=Worksheet!$A$55,Worksheet!C$55)))))))))),0)))))))</f>
        <v>1362</v>
      </c>
      <c r="O36" s="80">
        <f ca="1">IF(AND($D36="F-SMRA",O8=0),0,IF(AND($D36="F-SMRB",O8=0),0,IF(AND($D36="F-SMRC",O8=0),0,IF($D36=Worksheet!$A$68,Worksheet!D296,IF($D36=Worksheet!$A$69,Worksheet!D296,IF($D36=Worksheet!$A$70,Worksheet!D296,ROUND((Request!O8/Worksheet!$C$5*Worksheet!$C$9*(IF(Request!$D36=Worksheet!$A$47,Worksheet!D$47,IF(Request!$D36=Worksheet!$A$48,Worksheet!D$48,IF(Request!$D36=Worksheet!$A$49,Worksheet!D$49,IF(Request!$D36=Worksheet!$A$50,Worksheet!D$50,IF(Request!$D36=Worksheet!$A$51,Worksheet!D$51,IF(Request!$D36=Worksheet!$A$52,Worksheet!D$52,IF(Request!$D36=Worksheet!$A$53,Worksheet!D$53,IF(Request!$D36=Worksheet!$A$54,Worksheet!D$54,IF(Request!$D36=Worksheet!$A$55,Worksheet!D$55))))))))))),0)+ROUND(O8/Worksheet!$C$5*Worksheet!$C$10*(IF(Request!$D36=Worksheet!$A$47,Worksheet!E$47,IF(Request!$D36=Worksheet!$A$48,Worksheet!E$48,IF(Request!$D36=Worksheet!$A$49,Worksheet!E$49,IF(Request!$D36=Worksheet!$A$50,Worksheet!E$50,IF(Request!$D36=Worksheet!$A$51,Worksheet!E$51,IF(Request!$D36=Worksheet!$A$52,Worksheet!E$52,IF(Request!$D36=Worksheet!$A$53,Worksheet!E$53,IF(Request!$D36=Worksheet!$A$54,Worksheet!E$54,IF(Request!$D36=Worksheet!$A$55,Worksheet!E$55)))))))))),0)))))))</f>
        <v>1534</v>
      </c>
      <c r="P36" s="80">
        <f ca="1">IF(AND($D36="F-SMRA",P8=0),0,IF(AND($D36="F-SMRB",P8=0),0,IF(AND($D36="F-SMRC",P8=0),0,IF($D36=Worksheet!$A$68,Worksheet!F296,IF($D36=Worksheet!$A$69,Worksheet!F296,IF($D36=Worksheet!$A$70,Worksheet!F296,ROUND((Request!P8/Worksheet!$C$5*Worksheet!$C$9*(IF(Request!$D36=Worksheet!$A$47,Worksheet!F$47,IF(Request!$D36=Worksheet!$A$48,Worksheet!F$48,IF(Request!$D36=Worksheet!$A$49,Worksheet!F$49,IF(Request!$D36=Worksheet!$A$50,Worksheet!F$50,IF(Request!$D36=Worksheet!$A$51,Worksheet!F$51,IF(Request!$D36=Worksheet!$A$52,Worksheet!F$52,IF(Request!$D36=Worksheet!$A$53,Worksheet!F$53,IF(Request!$D36=Worksheet!$A$54,Worksheet!F$54,IF(Request!$D36=Worksheet!$A$55,Worksheet!F$55))))))))))),0)+ROUND(P8/Worksheet!$C$5*Worksheet!$C$10*(IF(Request!$D36=Worksheet!$A$47,Worksheet!G$47,IF(Request!$D36=Worksheet!$A$48,Worksheet!G$48,IF(Request!$D36=Worksheet!$A$49,Worksheet!G$49,IF(Request!$D36=Worksheet!$A$50,Worksheet!G$50,IF(Request!$D36=Worksheet!$A$51,Worksheet!G$51,IF(Request!$D36=Worksheet!$A$52,Worksheet!G$52,IF(Request!$D36=Worksheet!$A$53,Worksheet!G$53,IF(Request!$D36=Worksheet!$A$54,Worksheet!G$54,IF(Request!$D36=Worksheet!$A$55,Worksheet!G$55)))))))))),0)))))))</f>
        <v>1626</v>
      </c>
      <c r="Q36" s="80">
        <f ca="1">IF(AND($D36="F-SMRA",Q8=0),0,IF(AND($D36="F-SMRB",Q8=0),0,IF(AND($D36="F-SMRC",Q8=0),0,IF($D36=Worksheet!$A$68,Worksheet!H296,IF($D36=Worksheet!$A$69,Worksheet!H296,IF($D36=Worksheet!$A$70,Worksheet!H296,ROUND((Request!Q8/Worksheet!$C$5*Worksheet!$C$9*(IF(Request!$D36=Worksheet!$A$47,Worksheet!H$47,IF(Request!$D36=Worksheet!$A$48,Worksheet!H$48,IF(Request!$D36=Worksheet!$A$49,Worksheet!H$49,IF(Request!$D36=Worksheet!$A$50,Worksheet!H$50,IF(Request!$D36=Worksheet!$A$51,Worksheet!H$51,IF(Request!$D36=Worksheet!$A$52,Worksheet!H$52,IF(Request!$D36=Worksheet!$A$53,Worksheet!H$53,IF(Request!$D36=Worksheet!$A$54,Worksheet!H$54,IF(Request!$D36=Worksheet!$A$55,Worksheet!H$55))))))))))),0)+ROUND(Q8/Worksheet!$C$5*Worksheet!$C$10*(IF(Request!$D36=Worksheet!$A$47,Worksheet!I$47,IF(Request!$D36=Worksheet!$A$48,Worksheet!I$48,IF(Request!$D36=Worksheet!$A$49,Worksheet!I$49,IF(Request!$D36=Worksheet!$A$50,Worksheet!I$50,IF(Request!$D36=Worksheet!$A$51,Worksheet!I$51,IF(Request!$D36=Worksheet!$A$52,Worksheet!I$52,IF(Request!$D36=Worksheet!$A$53,Worksheet!I$53,IF(Request!$D36=Worksheet!$A$54,Worksheet!I$54,IF(Request!$D36=Worksheet!$A$55,Worksheet!I$55)))))))))),0)))))))</f>
        <v>0</v>
      </c>
      <c r="R36" s="80">
        <f ca="1">IF(AND($D36="F-SMRA",R8=0),0,IF(AND($D36="F-SMRB",R8=0),0,IF(AND($D36="F-SMRC",R8=0),0,IF($D36=Worksheet!$A$68,Worksheet!J296,IF($D36=Worksheet!$A$69,Worksheet!J296,IF($D36=Worksheet!$A$70,Worksheet!J296,ROUND((Request!R8/Worksheet!$C$5*Worksheet!$C$9*(IF(Request!$D36=Worksheet!$A$47,Worksheet!J$47,IF(Request!$D36=Worksheet!$A$48,Worksheet!J$48,IF(Request!$D36=Worksheet!$A$49,Worksheet!J$49,IF(Request!$D36=Worksheet!$A$50,Worksheet!J$50,IF(Request!$D36=Worksheet!$A$51,Worksheet!J$51,IF(Request!$D36=Worksheet!$A$52,Worksheet!J$52,IF(Request!$D36=Worksheet!$A$53,Worksheet!J$53,IF(Request!$D36=Worksheet!$A$54,Worksheet!J$54,IF(Request!$D36=Worksheet!$A$55,Worksheet!J$55))))))))))),0)+ROUND(R8/Worksheet!$C$5*Worksheet!$C$10*(IF(Request!$D36=Worksheet!$A$47,Worksheet!K$47,IF(Request!$D36=Worksheet!$A$48,Worksheet!K$48,IF(Request!$D36=Worksheet!$A$49,Worksheet!K$49,IF(Request!$D36=Worksheet!$A$50,Worksheet!K$50,IF(Request!$D36=Worksheet!$A$51,Worksheet!K$51,IF(Request!$D36=Worksheet!$A$52,Worksheet!K$52,IF(Request!$D36=Worksheet!$A$53,Worksheet!K$53,IF(Request!$D36=Worksheet!$A$54,Worksheet!K$54,IF(Request!$D36=Worksheet!$A$55,Worksheet!K$55)))))))))),0)))))))</f>
        <v>0</v>
      </c>
      <c r="S36" s="80">
        <f t="shared" ref="S36:S58" ca="1" si="3">SUM(N36:R36)</f>
        <v>4522</v>
      </c>
      <c r="T36" s="65"/>
      <c r="U36" s="65"/>
      <c r="V36" s="65"/>
      <c r="W36" s="65"/>
      <c r="X36" s="65"/>
    </row>
    <row r="37" spans="1:24">
      <c r="A37" s="162">
        <v>3</v>
      </c>
      <c r="B37" s="257" t="str">
        <f t="shared" si="2"/>
        <v>TBN (GSR IV)</v>
      </c>
      <c r="C37" s="233"/>
      <c r="D37" s="179" t="s">
        <v>33</v>
      </c>
      <c r="E37" s="202">
        <f>IF($D37=Worksheet!$A$59,Worksheet!B$59,IF($D37=Worksheet!$A$60,Worksheet!B$60,IF($D37=Worksheet!$A$61,Worksheet!B$61,IF($D37=Worksheet!$A$62,Worksheet!B$62,IF($D37=Worksheet!$A$63,Worksheet!B$63,IF($D37=Worksheet!$A$64,Worksheet!B$64,IF($D37=Worksheet!$A$65,Worksheet!B$65,IF($D37=Worksheet!$A$66,Worksheet!B$66,IF($D37=Worksheet!$A$67,Worksheet!B$67,IF($D37=Worksheet!$A$68,Worksheet!B271,IF($D37=Worksheet!$A$69,Worksheet!B271,IF($D37=Worksheet!$A$70,Worksheet!B271,IF($D37=Worksheet!$A$71,"")))))))))))))</f>
        <v>1.3</v>
      </c>
      <c r="F37" s="263">
        <f>IF($D37=Worksheet!$A$59,Worksheet!C$59,IF($D37=Worksheet!$A$60,Worksheet!C$60,IF($D37=Worksheet!$A$61,Worksheet!C$61,IF($D37=Worksheet!$A$62,Worksheet!C$62,IF($D37=Worksheet!$A$63,Worksheet!C$63,IF($D37=Worksheet!$A$64,Worksheet!C$64,IF($D37=Worksheet!$A$65,Worksheet!C$65,IF($D37=Worksheet!$A$66,Worksheet!C$66,IF($D37=Worksheet!$A$67,Worksheet!C$67,IF($D37=Worksheet!$A$68,Worksheet!D271,IF($D37=Worksheet!$A$69,Worksheet!D271,IF($D37=Worksheet!$A$70,Worksheet!D271,IF($D37=Worksheet!$A$71,"")))))))))))))</f>
        <v>1.3</v>
      </c>
      <c r="G37" s="264"/>
      <c r="H37" s="277">
        <f>IF($D37=Worksheet!$A$59,Worksheet!D$59,IF($D37=Worksheet!$A$60,Worksheet!D$60,IF($D37=Worksheet!$A$61,Worksheet!D$61,IF($D37=Worksheet!$A$62,Worksheet!D$62,IF($D37=Worksheet!$A$63,Worksheet!D$63,IF($D37=Worksheet!$A$64,Worksheet!D$64,IF($D37=Worksheet!$A$65,Worksheet!D$65,IF($D37=Worksheet!$A$66,Worksheet!D$66,IF($D37=Worksheet!$A$67,Worksheet!D$67,IF($D37=Worksheet!$A$68,Worksheet!F271,IF($D37=Worksheet!$A$69,Worksheet!F271,IF($D37=Worksheet!$A$70,Worksheet!F271,IF($D37=Worksheet!$A$71,"")))))))))))))</f>
        <v>1.3</v>
      </c>
      <c r="I37" s="278"/>
      <c r="J37" s="277" t="str">
        <f>IF($D37=Worksheet!$A$59,Worksheet!E$59,IF($D37=Worksheet!$A$60,Worksheet!E$60,IF($D37=Worksheet!$A$61,Worksheet!E$61,IF($D37=Worksheet!$A$62,Worksheet!E$62,IF($D37=Worksheet!$A$63,Worksheet!E$63,IF($D37=Worksheet!$A$64,Worksheet!E$64,IF($D37=Worksheet!$A$65,Worksheet!E$65,IF($D37=Worksheet!$A$66,Worksheet!E$66,IF($D37=Worksheet!$A$67,Worksheet!E$67,IF($D37=Worksheet!$A$68,Worksheet!H271,IF($D37=Worksheet!$A$69,Worksheet!H271,IF($D37=Worksheet!$A$70,Worksheet!H271,IF($D37=Worksheet!$A$71,"")))))))))))))</f>
        <v/>
      </c>
      <c r="K37" s="278"/>
      <c r="L37" s="277" t="str">
        <f>IF($D37=Worksheet!$A$59,Worksheet!F$59,IF($D37=Worksheet!$A$60,Worksheet!F$60,IF($D37=Worksheet!$A$61,Worksheet!F$61,IF($D37=Worksheet!$A$62,Worksheet!F$62,IF($D37=Worksheet!$A$63,Worksheet!F$63,IF($D37=Worksheet!$A$64,Worksheet!F$64,IF($D37=Worksheet!$A$65,Worksheet!F$65,IF($D37=Worksheet!$A$66,Worksheet!F$66,IF($D37=Worksheet!$A$67,Worksheet!F$67,IF($D37=Worksheet!$A$68,Worksheet!J271,IF($D37=Worksheet!$A$69,Worksheet!J271,IF($D37=Worksheet!$A$70,Worksheet!J271,IF($D37=Worksheet!$A$71,"")))))))))))))</f>
        <v/>
      </c>
      <c r="M37" s="278"/>
      <c r="N37" s="80">
        <f ca="1">IF(AND(D37="F-SMRA",N9=0),0,IF(AND(D37="F-SMRB",N9=0),0,IF(AND(D37="F-SMRC",N9=0),0,IF($D37=Worksheet!$A$68,Worksheet!B297,IF($D37=Worksheet!$A$69,Worksheet!B297,IF($D37=Worksheet!$A$70,Worksheet!B297,ROUND((Request!N9/Worksheet!$C$5*Worksheet!$C$9*(IF(Request!$D37=Worksheet!$A$47,Worksheet!B$47,IF(Request!$D37=Worksheet!$A$48,Worksheet!B$48,IF(Request!$D37=Worksheet!$A$49,Worksheet!B$49,IF(Request!$D37=Worksheet!$A$50,Worksheet!B$50,IF(Request!$D37=Worksheet!$A$51,Worksheet!B$51,IF(Request!$D37=Worksheet!$A$52,Worksheet!B$52,IF(Request!$D37=Worksheet!$A$53,Worksheet!B$53,IF(Request!$D37=Worksheet!$A$54,Worksheet!B$54,IF(Request!$D37=Worksheet!$A$55,Worksheet!B$55))))))))))),0)+ROUND(N9/Worksheet!$C$5*Worksheet!$C$10*(IF(Request!$D37=Worksheet!$A$47,Worksheet!C$47,IF(Request!$D37=Worksheet!$A$48,Worksheet!C$48,IF(Request!$D37=Worksheet!$A$49,Worksheet!C$49,IF(Request!$D37=Worksheet!$A$50,Worksheet!C$50,IF(Request!$D37=Worksheet!$A$51,Worksheet!C$51,IF(Request!$D37=Worksheet!$A$52,Worksheet!C$52,IF(Request!$D37=Worksheet!$A$53,Worksheet!C$53,IF(Request!$D37=Worksheet!$A$54,Worksheet!C$54,IF(Request!$D37=Worksheet!$A$55,Worksheet!C$55)))))))))),0)))))))</f>
        <v>373</v>
      </c>
      <c r="O37" s="80">
        <f ca="1">IF(AND($D37="F-SMRA",O9=0),0,IF(AND($D37="F-SMRB",O9=0),0,IF(AND($D37="F-SMRC",O9=0),0,IF($D37=Worksheet!$A$68,Worksheet!D297,IF($D37=Worksheet!$A$69,Worksheet!D297,IF($D37=Worksheet!$A$70,Worksheet!D297,ROUND((Request!O9/Worksheet!$C$5*Worksheet!$C$9*(IF(Request!$D37=Worksheet!$A$47,Worksheet!D$47,IF(Request!$D37=Worksheet!$A$48,Worksheet!D$48,IF(Request!$D37=Worksheet!$A$49,Worksheet!D$49,IF(Request!$D37=Worksheet!$A$50,Worksheet!D$50,IF(Request!$D37=Worksheet!$A$51,Worksheet!D$51,IF(Request!$D37=Worksheet!$A$52,Worksheet!D$52,IF(Request!$D37=Worksheet!$A$53,Worksheet!D$53,IF(Request!$D37=Worksheet!$A$54,Worksheet!D$54,IF(Request!$D37=Worksheet!$A$55,Worksheet!D$55))))))))))),0)+ROUND(O9/Worksheet!$C$5*Worksheet!$C$10*(IF(Request!$D37=Worksheet!$A$47,Worksheet!E$47,IF(Request!$D37=Worksheet!$A$48,Worksheet!E$48,IF(Request!$D37=Worksheet!$A$49,Worksheet!E$49,IF(Request!$D37=Worksheet!$A$50,Worksheet!E$50,IF(Request!$D37=Worksheet!$A$51,Worksheet!E$51,IF(Request!$D37=Worksheet!$A$52,Worksheet!E$52,IF(Request!$D37=Worksheet!$A$53,Worksheet!E$53,IF(Request!$D37=Worksheet!$A$54,Worksheet!E$54,IF(Request!$D37=Worksheet!$A$55,Worksheet!E$55)))))))))),0)))))))</f>
        <v>384</v>
      </c>
      <c r="P37" s="80">
        <f ca="1">IF(AND($D37="F-SMRA",P9=0),0,IF(AND($D37="F-SMRB",P9=0),0,IF(AND($D37="F-SMRC",P9=0),0,IF($D37=Worksheet!$A$68,Worksheet!F297,IF($D37=Worksheet!$A$69,Worksheet!F297,IF($D37=Worksheet!$A$70,Worksheet!F297,ROUND((Request!P9/Worksheet!$C$5*Worksheet!$C$9*(IF(Request!$D37=Worksheet!$A$47,Worksheet!F$47,IF(Request!$D37=Worksheet!$A$48,Worksheet!F$48,IF(Request!$D37=Worksheet!$A$49,Worksheet!F$49,IF(Request!$D37=Worksheet!$A$50,Worksheet!F$50,IF(Request!$D37=Worksheet!$A$51,Worksheet!F$51,IF(Request!$D37=Worksheet!$A$52,Worksheet!F$52,IF(Request!$D37=Worksheet!$A$53,Worksheet!F$53,IF(Request!$D37=Worksheet!$A$54,Worksheet!F$54,IF(Request!$D37=Worksheet!$A$55,Worksheet!F$55))))))))))),0)+ROUND(P9/Worksheet!$C$5*Worksheet!$C$10*(IF(Request!$D37=Worksheet!$A$47,Worksheet!G$47,IF(Request!$D37=Worksheet!$A$48,Worksheet!G$48,IF(Request!$D37=Worksheet!$A$49,Worksheet!G$49,IF(Request!$D37=Worksheet!$A$50,Worksheet!G$50,IF(Request!$D37=Worksheet!$A$51,Worksheet!G$51,IF(Request!$D37=Worksheet!$A$52,Worksheet!G$52,IF(Request!$D37=Worksheet!$A$53,Worksheet!G$53,IF(Request!$D37=Worksheet!$A$54,Worksheet!G$54,IF(Request!$D37=Worksheet!$A$55,Worksheet!G$55)))))))))),0)))))))</f>
        <v>396</v>
      </c>
      <c r="Q37" s="80">
        <f ca="1">IF(AND($D37="F-SMRA",Q9=0),0,IF(AND($D37="F-SMRB",Q9=0),0,IF(AND($D37="F-SMRC",Q9=0),0,IF($D37=Worksheet!$A$68,Worksheet!H297,IF($D37=Worksheet!$A$69,Worksheet!H297,IF($D37=Worksheet!$A$70,Worksheet!H297,ROUND((Request!Q9/Worksheet!$C$5*Worksheet!$C$9*(IF(Request!$D37=Worksheet!$A$47,Worksheet!H$47,IF(Request!$D37=Worksheet!$A$48,Worksheet!H$48,IF(Request!$D37=Worksheet!$A$49,Worksheet!H$49,IF(Request!$D37=Worksheet!$A$50,Worksheet!H$50,IF(Request!$D37=Worksheet!$A$51,Worksheet!H$51,IF(Request!$D37=Worksheet!$A$52,Worksheet!H$52,IF(Request!$D37=Worksheet!$A$53,Worksheet!H$53,IF(Request!$D37=Worksheet!$A$54,Worksheet!H$54,IF(Request!$D37=Worksheet!$A$55,Worksheet!H$55))))))))))),0)+ROUND(Q9/Worksheet!$C$5*Worksheet!$C$10*(IF(Request!$D37=Worksheet!$A$47,Worksheet!I$47,IF(Request!$D37=Worksheet!$A$48,Worksheet!I$48,IF(Request!$D37=Worksheet!$A$49,Worksheet!I$49,IF(Request!$D37=Worksheet!$A$50,Worksheet!I$50,IF(Request!$D37=Worksheet!$A$51,Worksheet!I$51,IF(Request!$D37=Worksheet!$A$52,Worksheet!I$52,IF(Request!$D37=Worksheet!$A$53,Worksheet!I$53,IF(Request!$D37=Worksheet!$A$54,Worksheet!I$54,IF(Request!$D37=Worksheet!$A$55,Worksheet!I$55)))))))))),0)))))))</f>
        <v>0</v>
      </c>
      <c r="R37" s="80">
        <f ca="1">IF(AND($D37="F-SMRA",R9=0),0,IF(AND($D37="F-SMRB",R9=0),0,IF(AND($D37="F-SMRC",R9=0),0,IF($D37=Worksheet!$A$68,Worksheet!J297,IF($D37=Worksheet!$A$69,Worksheet!J297,IF($D37=Worksheet!$A$70,Worksheet!J297,ROUND((Request!R9/Worksheet!$C$5*Worksheet!$C$9*(IF(Request!$D37=Worksheet!$A$47,Worksheet!J$47,IF(Request!$D37=Worksheet!$A$48,Worksheet!J$48,IF(Request!$D37=Worksheet!$A$49,Worksheet!J$49,IF(Request!$D37=Worksheet!$A$50,Worksheet!J$50,IF(Request!$D37=Worksheet!$A$51,Worksheet!J$51,IF(Request!$D37=Worksheet!$A$52,Worksheet!J$52,IF(Request!$D37=Worksheet!$A$53,Worksheet!J$53,IF(Request!$D37=Worksheet!$A$54,Worksheet!J$54,IF(Request!$D37=Worksheet!$A$55,Worksheet!J$55))))))))))),0)+ROUND(R9/Worksheet!$C$5*Worksheet!$C$10*(IF(Request!$D37=Worksheet!$A$47,Worksheet!K$47,IF(Request!$D37=Worksheet!$A$48,Worksheet!K$48,IF(Request!$D37=Worksheet!$A$49,Worksheet!K$49,IF(Request!$D37=Worksheet!$A$50,Worksheet!K$50,IF(Request!$D37=Worksheet!$A$51,Worksheet!K$51,IF(Request!$D37=Worksheet!$A$52,Worksheet!K$52,IF(Request!$D37=Worksheet!$A$53,Worksheet!K$53,IF(Request!$D37=Worksheet!$A$54,Worksheet!K$54,IF(Request!$D37=Worksheet!$A$55,Worksheet!K$55)))))))))),0)))))))</f>
        <v>0</v>
      </c>
      <c r="S37" s="80">
        <f t="shared" ca="1" si="3"/>
        <v>1153</v>
      </c>
      <c r="T37" s="65"/>
      <c r="U37" s="65"/>
      <c r="V37" s="65"/>
      <c r="W37" s="65"/>
      <c r="X37" s="65"/>
    </row>
    <row r="38" spans="1:24">
      <c r="A38" s="162">
        <v>4</v>
      </c>
      <c r="B38" s="257" t="str">
        <f t="shared" si="2"/>
        <v>TBN (GSR IV)</v>
      </c>
      <c r="C38" s="233"/>
      <c r="D38" s="179" t="s">
        <v>33</v>
      </c>
      <c r="E38" s="202">
        <f>IF($D38=Worksheet!$A$59,Worksheet!B$59,IF($D38=Worksheet!$A$60,Worksheet!B$60,IF($D38=Worksheet!$A$61,Worksheet!B$61,IF($D38=Worksheet!$A$62,Worksheet!B$62,IF($D38=Worksheet!$A$63,Worksheet!B$63,IF($D38=Worksheet!$A$64,Worksheet!B$64,IF($D38=Worksheet!$A$65,Worksheet!B$65,IF($D38=Worksheet!$A$66,Worksheet!B$66,IF($D38=Worksheet!$A$67,Worksheet!B$67,IF($D38=Worksheet!$A$68,Worksheet!B272,IF($D38=Worksheet!$A$69,Worksheet!B272,IF($D38=Worksheet!$A$70,Worksheet!B272,IF($D38=Worksheet!$A$71,"")))))))))))))</f>
        <v>1.3</v>
      </c>
      <c r="F38" s="263">
        <f>IF($D38=Worksheet!$A$59,Worksheet!C$59,IF($D38=Worksheet!$A$60,Worksheet!C$60,IF($D38=Worksheet!$A$61,Worksheet!C$61,IF($D38=Worksheet!$A$62,Worksheet!C$62,IF($D38=Worksheet!$A$63,Worksheet!C$63,IF($D38=Worksheet!$A$64,Worksheet!C$64,IF($D38=Worksheet!$A$65,Worksheet!C$65,IF($D38=Worksheet!$A$66,Worksheet!C$66,IF($D38=Worksheet!$A$67,Worksheet!C$67,IF($D38=Worksheet!$A$68,Worksheet!D272,IF($D38=Worksheet!$A$69,Worksheet!D272,IF($D38=Worksheet!$A$70,Worksheet!D272,IF($D38=Worksheet!$A$71,"")))))))))))))</f>
        <v>1.3</v>
      </c>
      <c r="G38" s="264"/>
      <c r="H38" s="277">
        <f>IF($D38=Worksheet!$A$59,Worksheet!D$59,IF($D38=Worksheet!$A$60,Worksheet!D$60,IF($D38=Worksheet!$A$61,Worksheet!D$61,IF($D38=Worksheet!$A$62,Worksheet!D$62,IF($D38=Worksheet!$A$63,Worksheet!D$63,IF($D38=Worksheet!$A$64,Worksheet!D$64,IF($D38=Worksheet!$A$65,Worksheet!D$65,IF($D38=Worksheet!$A$66,Worksheet!D$66,IF($D38=Worksheet!$A$67,Worksheet!D$67,IF($D38=Worksheet!$A$68,Worksheet!F272,IF($D38=Worksheet!$A$69,Worksheet!F272,IF($D38=Worksheet!$A$70,Worksheet!F272,IF($D38=Worksheet!$A$71,"")))))))))))))</f>
        <v>1.3</v>
      </c>
      <c r="I38" s="278"/>
      <c r="J38" s="277" t="str">
        <f>IF($D38=Worksheet!$A$59,Worksheet!E$59,IF($D38=Worksheet!$A$60,Worksheet!E$60,IF($D38=Worksheet!$A$61,Worksheet!E$61,IF($D38=Worksheet!$A$62,Worksheet!E$62,IF($D38=Worksheet!$A$63,Worksheet!E$63,IF($D38=Worksheet!$A$64,Worksheet!E$64,IF($D38=Worksheet!$A$65,Worksheet!E$65,IF($D38=Worksheet!$A$66,Worksheet!E$66,IF($D38=Worksheet!$A$67,Worksheet!E$67,IF($D38=Worksheet!$A$68,Worksheet!H272,IF($D38=Worksheet!$A$69,Worksheet!H272,IF($D38=Worksheet!$A$70,Worksheet!H272,IF($D38=Worksheet!$A$71,"")))))))))))))</f>
        <v/>
      </c>
      <c r="K38" s="278"/>
      <c r="L38" s="277" t="str">
        <f>IF($D38=Worksheet!$A$59,Worksheet!F$59,IF($D38=Worksheet!$A$60,Worksheet!F$60,IF($D38=Worksheet!$A$61,Worksheet!F$61,IF($D38=Worksheet!$A$62,Worksheet!F$62,IF($D38=Worksheet!$A$63,Worksheet!F$63,IF($D38=Worksheet!$A$64,Worksheet!F$64,IF($D38=Worksheet!$A$65,Worksheet!F$65,IF($D38=Worksheet!$A$66,Worksheet!F$66,IF($D38=Worksheet!$A$67,Worksheet!F$67,IF($D38=Worksheet!$A$68,Worksheet!J272,IF($D38=Worksheet!$A$69,Worksheet!J272,IF($D38=Worksheet!$A$70,Worksheet!J272,IF($D38=Worksheet!$A$71,"")))))))))))))</f>
        <v/>
      </c>
      <c r="M38" s="278"/>
      <c r="N38" s="80">
        <f ca="1">IF(AND(D38="F-SMRA",N10=0),0,IF(AND(D38="F-SMRB",N10=0),0,IF(AND(D38="F-SMRC",N10=0),0,IF($D38=Worksheet!$A$68,Worksheet!B298,IF($D38=Worksheet!$A$69,Worksheet!B298,IF($D38=Worksheet!$A$70,Worksheet!B298,ROUND((Request!N10/Worksheet!$C$5*Worksheet!$C$9*(IF(Request!$D38=Worksheet!$A$47,Worksheet!B$47,IF(Request!$D38=Worksheet!$A$48,Worksheet!B$48,IF(Request!$D38=Worksheet!$A$49,Worksheet!B$49,IF(Request!$D38=Worksheet!$A$50,Worksheet!B$50,IF(Request!$D38=Worksheet!$A$51,Worksheet!B$51,IF(Request!$D38=Worksheet!$A$52,Worksheet!B$52,IF(Request!$D38=Worksheet!$A$53,Worksheet!B$53,IF(Request!$D38=Worksheet!$A$54,Worksheet!B$54,IF(Request!$D38=Worksheet!$A$55,Worksheet!B$55))))))))))),0)+ROUND(N10/Worksheet!$C$5*Worksheet!$C$10*(IF(Request!$D38=Worksheet!$A$47,Worksheet!C$47,IF(Request!$D38=Worksheet!$A$48,Worksheet!C$48,IF(Request!$D38=Worksheet!$A$49,Worksheet!C$49,IF(Request!$D38=Worksheet!$A$50,Worksheet!C$50,IF(Request!$D38=Worksheet!$A$51,Worksheet!C$51,IF(Request!$D38=Worksheet!$A$52,Worksheet!C$52,IF(Request!$D38=Worksheet!$A$53,Worksheet!C$53,IF(Request!$D38=Worksheet!$A$54,Worksheet!C$54,IF(Request!$D38=Worksheet!$A$55,Worksheet!C$55)))))))))),0)))))))</f>
        <v>373</v>
      </c>
      <c r="O38" s="80">
        <f ca="1">IF(AND($D38="F-SMRA",O10=0),0,IF(AND($D38="F-SMRB",O10=0),0,IF(AND($D38="F-SMRC",O10=0),0,IF($D38=Worksheet!$A$68,Worksheet!D298,IF($D38=Worksheet!$A$69,Worksheet!D298,IF($D38=Worksheet!$A$70,Worksheet!D298,ROUND((Request!O10/Worksheet!$C$5*Worksheet!$C$9*(IF(Request!$D38=Worksheet!$A$47,Worksheet!D$47,IF(Request!$D38=Worksheet!$A$48,Worksheet!D$48,IF(Request!$D38=Worksheet!$A$49,Worksheet!D$49,IF(Request!$D38=Worksheet!$A$50,Worksheet!D$50,IF(Request!$D38=Worksheet!$A$51,Worksheet!D$51,IF(Request!$D38=Worksheet!$A$52,Worksheet!D$52,IF(Request!$D38=Worksheet!$A$53,Worksheet!D$53,IF(Request!$D38=Worksheet!$A$54,Worksheet!D$54,IF(Request!$D38=Worksheet!$A$55,Worksheet!D$55))))))))))),0)+ROUND(O10/Worksheet!$C$5*Worksheet!$C$10*(IF(Request!$D38=Worksheet!$A$47,Worksheet!E$47,IF(Request!$D38=Worksheet!$A$48,Worksheet!E$48,IF(Request!$D38=Worksheet!$A$49,Worksheet!E$49,IF(Request!$D38=Worksheet!$A$50,Worksheet!E$50,IF(Request!$D38=Worksheet!$A$51,Worksheet!E$51,IF(Request!$D38=Worksheet!$A$52,Worksheet!E$52,IF(Request!$D38=Worksheet!$A$53,Worksheet!E$53,IF(Request!$D38=Worksheet!$A$54,Worksheet!E$54,IF(Request!$D38=Worksheet!$A$55,Worksheet!E$55)))))))))),0)))))))</f>
        <v>384</v>
      </c>
      <c r="P38" s="80">
        <f ca="1">IF(AND($D38="F-SMRA",P10=0),0,IF(AND($D38="F-SMRB",P10=0),0,IF(AND($D38="F-SMRC",P10=0),0,IF($D38=Worksheet!$A$68,Worksheet!F298,IF($D38=Worksheet!$A$69,Worksheet!F298,IF($D38=Worksheet!$A$70,Worksheet!F298,ROUND((Request!P10/Worksheet!$C$5*Worksheet!$C$9*(IF(Request!$D38=Worksheet!$A$47,Worksheet!F$47,IF(Request!$D38=Worksheet!$A$48,Worksheet!F$48,IF(Request!$D38=Worksheet!$A$49,Worksheet!F$49,IF(Request!$D38=Worksheet!$A$50,Worksheet!F$50,IF(Request!$D38=Worksheet!$A$51,Worksheet!F$51,IF(Request!$D38=Worksheet!$A$52,Worksheet!F$52,IF(Request!$D38=Worksheet!$A$53,Worksheet!F$53,IF(Request!$D38=Worksheet!$A$54,Worksheet!F$54,IF(Request!$D38=Worksheet!$A$55,Worksheet!F$55))))))))))),0)+ROUND(P10/Worksheet!$C$5*Worksheet!$C$10*(IF(Request!$D38=Worksheet!$A$47,Worksheet!G$47,IF(Request!$D38=Worksheet!$A$48,Worksheet!G$48,IF(Request!$D38=Worksheet!$A$49,Worksheet!G$49,IF(Request!$D38=Worksheet!$A$50,Worksheet!G$50,IF(Request!$D38=Worksheet!$A$51,Worksheet!G$51,IF(Request!$D38=Worksheet!$A$52,Worksheet!G$52,IF(Request!$D38=Worksheet!$A$53,Worksheet!G$53,IF(Request!$D38=Worksheet!$A$54,Worksheet!G$54,IF(Request!$D38=Worksheet!$A$55,Worksheet!G$55)))))))))),0)))))))</f>
        <v>396</v>
      </c>
      <c r="Q38" s="80">
        <f ca="1">IF(AND($D38="F-SMRA",Q10=0),0,IF(AND($D38="F-SMRB",Q10=0),0,IF(AND($D38="F-SMRC",Q10=0),0,IF($D38=Worksheet!$A$68,Worksheet!H298,IF($D38=Worksheet!$A$69,Worksheet!H298,IF($D38=Worksheet!$A$70,Worksheet!H298,ROUND((Request!Q10/Worksheet!$C$5*Worksheet!$C$9*(IF(Request!$D38=Worksheet!$A$47,Worksheet!H$47,IF(Request!$D38=Worksheet!$A$48,Worksheet!H$48,IF(Request!$D38=Worksheet!$A$49,Worksheet!H$49,IF(Request!$D38=Worksheet!$A$50,Worksheet!H$50,IF(Request!$D38=Worksheet!$A$51,Worksheet!H$51,IF(Request!$D38=Worksheet!$A$52,Worksheet!H$52,IF(Request!$D38=Worksheet!$A$53,Worksheet!H$53,IF(Request!$D38=Worksheet!$A$54,Worksheet!H$54,IF(Request!$D38=Worksheet!$A$55,Worksheet!H$55))))))))))),0)+ROUND(Q10/Worksheet!$C$5*Worksheet!$C$10*(IF(Request!$D38=Worksheet!$A$47,Worksheet!I$47,IF(Request!$D38=Worksheet!$A$48,Worksheet!I$48,IF(Request!$D38=Worksheet!$A$49,Worksheet!I$49,IF(Request!$D38=Worksheet!$A$50,Worksheet!I$50,IF(Request!$D38=Worksheet!$A$51,Worksheet!I$51,IF(Request!$D38=Worksheet!$A$52,Worksheet!I$52,IF(Request!$D38=Worksheet!$A$53,Worksheet!I$53,IF(Request!$D38=Worksheet!$A$54,Worksheet!I$54,IF(Request!$D38=Worksheet!$A$55,Worksheet!I$55)))))))))),0)))))))</f>
        <v>0</v>
      </c>
      <c r="R38" s="80">
        <f ca="1">IF(AND($D38="F-SMRA",R10=0),0,IF(AND($D38="F-SMRB",R10=0),0,IF(AND($D38="F-SMRC",R10=0),0,IF($D38=Worksheet!$A$68,Worksheet!J298,IF($D38=Worksheet!$A$69,Worksheet!J298,IF($D38=Worksheet!$A$70,Worksheet!J298,ROUND((Request!R10/Worksheet!$C$5*Worksheet!$C$9*(IF(Request!$D38=Worksheet!$A$47,Worksheet!J$47,IF(Request!$D38=Worksheet!$A$48,Worksheet!J$48,IF(Request!$D38=Worksheet!$A$49,Worksheet!J$49,IF(Request!$D38=Worksheet!$A$50,Worksheet!J$50,IF(Request!$D38=Worksheet!$A$51,Worksheet!J$51,IF(Request!$D38=Worksheet!$A$52,Worksheet!J$52,IF(Request!$D38=Worksheet!$A$53,Worksheet!J$53,IF(Request!$D38=Worksheet!$A$54,Worksheet!J$54,IF(Request!$D38=Worksheet!$A$55,Worksheet!J$55))))))))))),0)+ROUND(R10/Worksheet!$C$5*Worksheet!$C$10*(IF(Request!$D38=Worksheet!$A$47,Worksheet!K$47,IF(Request!$D38=Worksheet!$A$48,Worksheet!K$48,IF(Request!$D38=Worksheet!$A$49,Worksheet!K$49,IF(Request!$D38=Worksheet!$A$50,Worksheet!K$50,IF(Request!$D38=Worksheet!$A$51,Worksheet!K$51,IF(Request!$D38=Worksheet!$A$52,Worksheet!K$52,IF(Request!$D38=Worksheet!$A$53,Worksheet!K$53,IF(Request!$D38=Worksheet!$A$54,Worksheet!K$54,IF(Request!$D38=Worksheet!$A$55,Worksheet!K$55)))))))))),0)))))))</f>
        <v>0</v>
      </c>
      <c r="S38" s="80">
        <f t="shared" ca="1" si="3"/>
        <v>1153</v>
      </c>
      <c r="T38" s="65"/>
      <c r="U38" s="65"/>
      <c r="V38" s="65"/>
      <c r="W38" s="65"/>
      <c r="X38" s="65"/>
    </row>
    <row r="39" spans="1:24">
      <c r="A39" s="162">
        <v>5</v>
      </c>
      <c r="B39" s="257">
        <f t="shared" si="2"/>
        <v>0</v>
      </c>
      <c r="C39" s="233"/>
      <c r="D39" s="179" t="s">
        <v>54</v>
      </c>
      <c r="E39" s="202" t="str">
        <f>IF($D39=Worksheet!$A$59,Worksheet!B$59,IF($D39=Worksheet!$A$60,Worksheet!B$60,IF($D39=Worksheet!$A$61,Worksheet!B$61,IF($D39=Worksheet!$A$62,Worksheet!B$62,IF($D39=Worksheet!$A$63,Worksheet!B$63,IF($D39=Worksheet!$A$64,Worksheet!B$64,IF($D39=Worksheet!$A$65,Worksheet!B$65,IF($D39=Worksheet!$A$66,Worksheet!B$66,IF($D39=Worksheet!$A$67,Worksheet!B$67,IF($D39=Worksheet!$A$68,Worksheet!B273,IF($D39=Worksheet!$A$69,Worksheet!B273,IF($D39=Worksheet!$A$70,Worksheet!B273,IF($D39=Worksheet!$A$71,"")))))))))))))</f>
        <v/>
      </c>
      <c r="F39" s="263" t="str">
        <f>IF($D39=Worksheet!$A$59,Worksheet!C$59,IF($D39=Worksheet!$A$60,Worksheet!C$60,IF($D39=Worksheet!$A$61,Worksheet!C$61,IF($D39=Worksheet!$A$62,Worksheet!C$62,IF($D39=Worksheet!$A$63,Worksheet!C$63,IF($D39=Worksheet!$A$64,Worksheet!C$64,IF($D39=Worksheet!$A$65,Worksheet!C$65,IF($D39=Worksheet!$A$66,Worksheet!C$66,IF($D39=Worksheet!$A$67,Worksheet!C$67,IF($D39=Worksheet!$A$68,Worksheet!D273,IF($D39=Worksheet!$A$69,Worksheet!D273,IF($D39=Worksheet!$A$70,Worksheet!D273,IF($D39=Worksheet!$A$71,"")))))))))))))</f>
        <v/>
      </c>
      <c r="G39" s="264"/>
      <c r="H39" s="277" t="str">
        <f>IF($D39=Worksheet!$A$59,Worksheet!D$59,IF($D39=Worksheet!$A$60,Worksheet!D$60,IF($D39=Worksheet!$A$61,Worksheet!D$61,IF($D39=Worksheet!$A$62,Worksheet!D$62,IF($D39=Worksheet!$A$63,Worksheet!D$63,IF($D39=Worksheet!$A$64,Worksheet!D$64,IF($D39=Worksheet!$A$65,Worksheet!D$65,IF($D39=Worksheet!$A$66,Worksheet!D$66,IF($D39=Worksheet!$A$67,Worksheet!D$67,IF($D39=Worksheet!$A$68,Worksheet!F273,IF($D39=Worksheet!$A$69,Worksheet!F273,IF($D39=Worksheet!$A$70,Worksheet!F273,IF($D39=Worksheet!$A$71,"")))))))))))))</f>
        <v/>
      </c>
      <c r="I39" s="278"/>
      <c r="J39" s="277" t="str">
        <f>IF($D39=Worksheet!$A$59,Worksheet!E$59,IF($D39=Worksheet!$A$60,Worksheet!E$60,IF($D39=Worksheet!$A$61,Worksheet!E$61,IF($D39=Worksheet!$A$62,Worksheet!E$62,IF($D39=Worksheet!$A$63,Worksheet!E$63,IF($D39=Worksheet!$A$64,Worksheet!E$64,IF($D39=Worksheet!$A$65,Worksheet!E$65,IF($D39=Worksheet!$A$66,Worksheet!E$66,IF($D39=Worksheet!$A$67,Worksheet!E$67,IF($D39=Worksheet!$A$68,Worksheet!H273,IF($D39=Worksheet!$A$69,Worksheet!H273,IF($D39=Worksheet!$A$70,Worksheet!H273,IF($D39=Worksheet!$A$71,"")))))))))))))</f>
        <v/>
      </c>
      <c r="K39" s="278"/>
      <c r="L39" s="277" t="str">
        <f>IF($D39=Worksheet!$A$59,Worksheet!F$59,IF($D39=Worksheet!$A$60,Worksheet!F$60,IF($D39=Worksheet!$A$61,Worksheet!F$61,IF($D39=Worksheet!$A$62,Worksheet!F$62,IF($D39=Worksheet!$A$63,Worksheet!F$63,IF($D39=Worksheet!$A$64,Worksheet!F$64,IF($D39=Worksheet!$A$65,Worksheet!F$65,IF($D39=Worksheet!$A$66,Worksheet!F$66,IF($D39=Worksheet!$A$67,Worksheet!F$67,IF($D39=Worksheet!$A$68,Worksheet!J273,IF($D39=Worksheet!$A$69,Worksheet!J273,IF($D39=Worksheet!$A$70,Worksheet!J273,IF($D39=Worksheet!$A$71,"")))))))))))))</f>
        <v/>
      </c>
      <c r="M39" s="278"/>
      <c r="N39" s="80">
        <f ca="1">IF(AND(D39="F-SMRA",N11=0),0,IF(AND(D39="F-SMRB",N11=0),0,IF(AND(D39="F-SMRC",N11=0),0,IF($D39=Worksheet!$A$68,Worksheet!B299,IF($D39=Worksheet!$A$69,Worksheet!B299,IF($D39=Worksheet!$A$70,Worksheet!B299,ROUND((Request!N11/Worksheet!$C$5*Worksheet!$C$9*(IF(Request!$D39=Worksheet!$A$47,Worksheet!B$47,IF(Request!$D39=Worksheet!$A$48,Worksheet!B$48,IF(Request!$D39=Worksheet!$A$49,Worksheet!B$49,IF(Request!$D39=Worksheet!$A$50,Worksheet!B$50,IF(Request!$D39=Worksheet!$A$51,Worksheet!B$51,IF(Request!$D39=Worksheet!$A$52,Worksheet!B$52,IF(Request!$D39=Worksheet!$A$53,Worksheet!B$53,IF(Request!$D39=Worksheet!$A$54,Worksheet!B$54,IF(Request!$D39=Worksheet!$A$55,Worksheet!B$55))))))))))),0)+ROUND(N11/Worksheet!$C$5*Worksheet!$C$10*(IF(Request!$D39=Worksheet!$A$47,Worksheet!C$47,IF(Request!$D39=Worksheet!$A$48,Worksheet!C$48,IF(Request!$D39=Worksheet!$A$49,Worksheet!C$49,IF(Request!$D39=Worksheet!$A$50,Worksheet!C$50,IF(Request!$D39=Worksheet!$A$51,Worksheet!C$51,IF(Request!$D39=Worksheet!$A$52,Worksheet!C$52,IF(Request!$D39=Worksheet!$A$53,Worksheet!C$53,IF(Request!$D39=Worksheet!$A$54,Worksheet!C$54,IF(Request!$D39=Worksheet!$A$55,Worksheet!C$55)))))))))),0)))))))</f>
        <v>0</v>
      </c>
      <c r="O39" s="80">
        <f ca="1">IF(AND($D39="F-SMRA",O11=0),0,IF(AND($D39="F-SMRB",O11=0),0,IF(AND($D39="F-SMRC",O11=0),0,IF($D39=Worksheet!$A$68,Worksheet!D299,IF($D39=Worksheet!$A$69,Worksheet!D299,IF($D39=Worksheet!$A$70,Worksheet!D299,ROUND((Request!O11/Worksheet!$C$5*Worksheet!$C$9*(IF(Request!$D39=Worksheet!$A$47,Worksheet!D$47,IF(Request!$D39=Worksheet!$A$48,Worksheet!D$48,IF(Request!$D39=Worksheet!$A$49,Worksheet!D$49,IF(Request!$D39=Worksheet!$A$50,Worksheet!D$50,IF(Request!$D39=Worksheet!$A$51,Worksheet!D$51,IF(Request!$D39=Worksheet!$A$52,Worksheet!D$52,IF(Request!$D39=Worksheet!$A$53,Worksheet!D$53,IF(Request!$D39=Worksheet!$A$54,Worksheet!D$54,IF(Request!$D39=Worksheet!$A$55,Worksheet!D$55))))))))))),0)+ROUND(O11/Worksheet!$C$5*Worksheet!$C$10*(IF(Request!$D39=Worksheet!$A$47,Worksheet!E$47,IF(Request!$D39=Worksheet!$A$48,Worksheet!E$48,IF(Request!$D39=Worksheet!$A$49,Worksheet!E$49,IF(Request!$D39=Worksheet!$A$50,Worksheet!E$50,IF(Request!$D39=Worksheet!$A$51,Worksheet!E$51,IF(Request!$D39=Worksheet!$A$52,Worksheet!E$52,IF(Request!$D39=Worksheet!$A$53,Worksheet!E$53,IF(Request!$D39=Worksheet!$A$54,Worksheet!E$54,IF(Request!$D39=Worksheet!$A$55,Worksheet!E$55)))))))))),0)))))))</f>
        <v>0</v>
      </c>
      <c r="P39" s="80">
        <f ca="1">IF(AND($D39="F-SMRA",P11=0),0,IF(AND($D39="F-SMRB",P11=0),0,IF(AND($D39="F-SMRC",P11=0),0,IF($D39=Worksheet!$A$68,Worksheet!F299,IF($D39=Worksheet!$A$69,Worksheet!F299,IF($D39=Worksheet!$A$70,Worksheet!F299,ROUND((Request!P11/Worksheet!$C$5*Worksheet!$C$9*(IF(Request!$D39=Worksheet!$A$47,Worksheet!F$47,IF(Request!$D39=Worksheet!$A$48,Worksheet!F$48,IF(Request!$D39=Worksheet!$A$49,Worksheet!F$49,IF(Request!$D39=Worksheet!$A$50,Worksheet!F$50,IF(Request!$D39=Worksheet!$A$51,Worksheet!F$51,IF(Request!$D39=Worksheet!$A$52,Worksheet!F$52,IF(Request!$D39=Worksheet!$A$53,Worksheet!F$53,IF(Request!$D39=Worksheet!$A$54,Worksheet!F$54,IF(Request!$D39=Worksheet!$A$55,Worksheet!F$55))))))))))),0)+ROUND(P11/Worksheet!$C$5*Worksheet!$C$10*(IF(Request!$D39=Worksheet!$A$47,Worksheet!G$47,IF(Request!$D39=Worksheet!$A$48,Worksheet!G$48,IF(Request!$D39=Worksheet!$A$49,Worksheet!G$49,IF(Request!$D39=Worksheet!$A$50,Worksheet!G$50,IF(Request!$D39=Worksheet!$A$51,Worksheet!G$51,IF(Request!$D39=Worksheet!$A$52,Worksheet!G$52,IF(Request!$D39=Worksheet!$A$53,Worksheet!G$53,IF(Request!$D39=Worksheet!$A$54,Worksheet!G$54,IF(Request!$D39=Worksheet!$A$55,Worksheet!G$55)))))))))),0)))))))</f>
        <v>0</v>
      </c>
      <c r="Q39" s="80">
        <f ca="1">IF(AND($D39="F-SMRA",Q11=0),0,IF(AND($D39="F-SMRB",Q11=0),0,IF(AND($D39="F-SMRC",Q11=0),0,IF($D39=Worksheet!$A$68,Worksheet!H299,IF($D39=Worksheet!$A$69,Worksheet!H299,IF($D39=Worksheet!$A$70,Worksheet!H299,ROUND((Request!Q11/Worksheet!$C$5*Worksheet!$C$9*(IF(Request!$D39=Worksheet!$A$47,Worksheet!H$47,IF(Request!$D39=Worksheet!$A$48,Worksheet!H$48,IF(Request!$D39=Worksheet!$A$49,Worksheet!H$49,IF(Request!$D39=Worksheet!$A$50,Worksheet!H$50,IF(Request!$D39=Worksheet!$A$51,Worksheet!H$51,IF(Request!$D39=Worksheet!$A$52,Worksheet!H$52,IF(Request!$D39=Worksheet!$A$53,Worksheet!H$53,IF(Request!$D39=Worksheet!$A$54,Worksheet!H$54,IF(Request!$D39=Worksheet!$A$55,Worksheet!H$55))))))))))),0)+ROUND(Q11/Worksheet!$C$5*Worksheet!$C$10*(IF(Request!$D39=Worksheet!$A$47,Worksheet!I$47,IF(Request!$D39=Worksheet!$A$48,Worksheet!I$48,IF(Request!$D39=Worksheet!$A$49,Worksheet!I$49,IF(Request!$D39=Worksheet!$A$50,Worksheet!I$50,IF(Request!$D39=Worksheet!$A$51,Worksheet!I$51,IF(Request!$D39=Worksheet!$A$52,Worksheet!I$52,IF(Request!$D39=Worksheet!$A$53,Worksheet!I$53,IF(Request!$D39=Worksheet!$A$54,Worksheet!I$54,IF(Request!$D39=Worksheet!$A$55,Worksheet!I$55)))))))))),0)))))))</f>
        <v>0</v>
      </c>
      <c r="R39" s="80">
        <f ca="1">IF(AND($D39="F-SMRA",R11=0),0,IF(AND($D39="F-SMRB",R11=0),0,IF(AND($D39="F-SMRC",R11=0),0,IF($D39=Worksheet!$A$68,Worksheet!J299,IF($D39=Worksheet!$A$69,Worksheet!J299,IF($D39=Worksheet!$A$70,Worksheet!J299,ROUND((Request!R11/Worksheet!$C$5*Worksheet!$C$9*(IF(Request!$D39=Worksheet!$A$47,Worksheet!J$47,IF(Request!$D39=Worksheet!$A$48,Worksheet!J$48,IF(Request!$D39=Worksheet!$A$49,Worksheet!J$49,IF(Request!$D39=Worksheet!$A$50,Worksheet!J$50,IF(Request!$D39=Worksheet!$A$51,Worksheet!J$51,IF(Request!$D39=Worksheet!$A$52,Worksheet!J$52,IF(Request!$D39=Worksheet!$A$53,Worksheet!J$53,IF(Request!$D39=Worksheet!$A$54,Worksheet!J$54,IF(Request!$D39=Worksheet!$A$55,Worksheet!J$55))))))))))),0)+ROUND(R11/Worksheet!$C$5*Worksheet!$C$10*(IF(Request!$D39=Worksheet!$A$47,Worksheet!K$47,IF(Request!$D39=Worksheet!$A$48,Worksheet!K$48,IF(Request!$D39=Worksheet!$A$49,Worksheet!K$49,IF(Request!$D39=Worksheet!$A$50,Worksheet!K$50,IF(Request!$D39=Worksheet!$A$51,Worksheet!K$51,IF(Request!$D39=Worksheet!$A$52,Worksheet!K$52,IF(Request!$D39=Worksheet!$A$53,Worksheet!K$53,IF(Request!$D39=Worksheet!$A$54,Worksheet!K$54,IF(Request!$D39=Worksheet!$A$55,Worksheet!K$55)))))))))),0)))))))</f>
        <v>0</v>
      </c>
      <c r="S39" s="80">
        <f t="shared" ca="1" si="3"/>
        <v>0</v>
      </c>
      <c r="T39" s="65"/>
      <c r="U39" s="65"/>
      <c r="V39" s="65"/>
      <c r="W39" s="65"/>
      <c r="X39" s="65"/>
    </row>
    <row r="40" spans="1:24">
      <c r="A40" s="162">
        <v>6</v>
      </c>
      <c r="B40" s="257">
        <f t="shared" si="2"/>
        <v>0</v>
      </c>
      <c r="C40" s="233"/>
      <c r="D40" s="179" t="s">
        <v>54</v>
      </c>
      <c r="E40" s="202" t="str">
        <f>IF($D40=Worksheet!$A$59,Worksheet!B$59,IF($D40=Worksheet!$A$60,Worksheet!B$60,IF($D40=Worksheet!$A$61,Worksheet!B$61,IF($D40=Worksheet!$A$62,Worksheet!B$62,IF($D40=Worksheet!$A$63,Worksheet!B$63,IF($D40=Worksheet!$A$64,Worksheet!B$64,IF($D40=Worksheet!$A$65,Worksheet!B$65,IF($D40=Worksheet!$A$66,Worksheet!B$66,IF($D40=Worksheet!$A$67,Worksheet!B$67,IF($D40=Worksheet!$A$68,Worksheet!B274,IF($D40=Worksheet!$A$69,Worksheet!B274,IF($D40=Worksheet!$A$70,Worksheet!B274,IF($D40=Worksheet!$A$71,"")))))))))))))</f>
        <v/>
      </c>
      <c r="F40" s="263" t="str">
        <f>IF($D40=Worksheet!$A$59,Worksheet!C$59,IF($D40=Worksheet!$A$60,Worksheet!C$60,IF($D40=Worksheet!$A$61,Worksheet!C$61,IF($D40=Worksheet!$A$62,Worksheet!C$62,IF($D40=Worksheet!$A$63,Worksheet!C$63,IF($D40=Worksheet!$A$64,Worksheet!C$64,IF($D40=Worksheet!$A$65,Worksheet!C$65,IF($D40=Worksheet!$A$66,Worksheet!C$66,IF($D40=Worksheet!$A$67,Worksheet!C$67,IF($D40=Worksheet!$A$68,Worksheet!D274,IF($D40=Worksheet!$A$69,Worksheet!D274,IF($D40=Worksheet!$A$70,Worksheet!D274,IF($D40=Worksheet!$A$71,"")))))))))))))</f>
        <v/>
      </c>
      <c r="G40" s="264"/>
      <c r="H40" s="277" t="str">
        <f>IF($D40=Worksheet!$A$59,Worksheet!D$59,IF($D40=Worksheet!$A$60,Worksheet!D$60,IF($D40=Worksheet!$A$61,Worksheet!D$61,IF($D40=Worksheet!$A$62,Worksheet!D$62,IF($D40=Worksheet!$A$63,Worksheet!D$63,IF($D40=Worksheet!$A$64,Worksheet!D$64,IF($D40=Worksheet!$A$65,Worksheet!D$65,IF($D40=Worksheet!$A$66,Worksheet!D$66,IF($D40=Worksheet!$A$67,Worksheet!D$67,IF($D40=Worksheet!$A$68,Worksheet!F274,IF($D40=Worksheet!$A$69,Worksheet!F274,IF($D40=Worksheet!$A$70,Worksheet!F274,IF($D40=Worksheet!$A$71,"")))))))))))))</f>
        <v/>
      </c>
      <c r="I40" s="278"/>
      <c r="J40" s="277" t="str">
        <f>IF($D40=Worksheet!$A$59,Worksheet!E$59,IF($D40=Worksheet!$A$60,Worksheet!E$60,IF($D40=Worksheet!$A$61,Worksheet!E$61,IF($D40=Worksheet!$A$62,Worksheet!E$62,IF($D40=Worksheet!$A$63,Worksheet!E$63,IF($D40=Worksheet!$A$64,Worksheet!E$64,IF($D40=Worksheet!$A$65,Worksheet!E$65,IF($D40=Worksheet!$A$66,Worksheet!E$66,IF($D40=Worksheet!$A$67,Worksheet!E$67,IF($D40=Worksheet!$A$68,Worksheet!H274,IF($D40=Worksheet!$A$69,Worksheet!H274,IF($D40=Worksheet!$A$70,Worksheet!H274,IF($D40=Worksheet!$A$71,"")))))))))))))</f>
        <v/>
      </c>
      <c r="K40" s="278"/>
      <c r="L40" s="277" t="str">
        <f>IF($D40=Worksheet!$A$59,Worksheet!F$59,IF($D40=Worksheet!$A$60,Worksheet!F$60,IF($D40=Worksheet!$A$61,Worksheet!F$61,IF($D40=Worksheet!$A$62,Worksheet!F$62,IF($D40=Worksheet!$A$63,Worksheet!F$63,IF($D40=Worksheet!$A$64,Worksheet!F$64,IF($D40=Worksheet!$A$65,Worksheet!F$65,IF($D40=Worksheet!$A$66,Worksheet!F$66,IF($D40=Worksheet!$A$67,Worksheet!F$67,IF($D40=Worksheet!$A$68,Worksheet!J274,IF($D40=Worksheet!$A$69,Worksheet!J274,IF($D40=Worksheet!$A$70,Worksheet!J274,IF($D40=Worksheet!$A$71,"")))))))))))))</f>
        <v/>
      </c>
      <c r="M40" s="278"/>
      <c r="N40" s="80">
        <f ca="1">IF(AND(D40="F-SMRA",N12=0),0,IF(AND(D40="F-SMRB",N12=0),0,IF(AND(D40="F-SMRC",N12=0),0,IF($D40=Worksheet!$A$68,Worksheet!B300,IF($D40=Worksheet!$A$69,Worksheet!B300,IF($D40=Worksheet!$A$70,Worksheet!B300,ROUND((Request!N12/Worksheet!$C$5*Worksheet!$C$9*(IF(Request!$D40=Worksheet!$A$47,Worksheet!B$47,IF(Request!$D40=Worksheet!$A$48,Worksheet!B$48,IF(Request!$D40=Worksheet!$A$49,Worksheet!B$49,IF(Request!$D40=Worksheet!$A$50,Worksheet!B$50,IF(Request!$D40=Worksheet!$A$51,Worksheet!B$51,IF(Request!$D40=Worksheet!$A$52,Worksheet!B$52,IF(Request!$D40=Worksheet!$A$53,Worksheet!B$53,IF(Request!$D40=Worksheet!$A$54,Worksheet!B$54,IF(Request!$D40=Worksheet!$A$55,Worksheet!B$55))))))))))),0)+ROUND(N12/Worksheet!$C$5*Worksheet!$C$10*(IF(Request!$D40=Worksheet!$A$47,Worksheet!C$47,IF(Request!$D40=Worksheet!$A$48,Worksheet!C$48,IF(Request!$D40=Worksheet!$A$49,Worksheet!C$49,IF(Request!$D40=Worksheet!$A$50,Worksheet!C$50,IF(Request!$D40=Worksheet!$A$51,Worksheet!C$51,IF(Request!$D40=Worksheet!$A$52,Worksheet!C$52,IF(Request!$D40=Worksheet!$A$53,Worksheet!C$53,IF(Request!$D40=Worksheet!$A$54,Worksheet!C$54,IF(Request!$D40=Worksheet!$A$55,Worksheet!C$55)))))))))),0)))))))</f>
        <v>0</v>
      </c>
      <c r="O40" s="80">
        <f ca="1">IF(AND($D40="F-SMRA",O12=0),0,IF(AND($D40="F-SMRB",O12=0),0,IF(AND($D40="F-SMRC",O12=0),0,IF($D40=Worksheet!$A$68,Worksheet!D300,IF($D40=Worksheet!$A$69,Worksheet!D300,IF($D40=Worksheet!$A$70,Worksheet!D300,ROUND((Request!O12/Worksheet!$C$5*Worksheet!$C$9*(IF(Request!$D40=Worksheet!$A$47,Worksheet!D$47,IF(Request!$D40=Worksheet!$A$48,Worksheet!D$48,IF(Request!$D40=Worksheet!$A$49,Worksheet!D$49,IF(Request!$D40=Worksheet!$A$50,Worksheet!D$50,IF(Request!$D40=Worksheet!$A$51,Worksheet!D$51,IF(Request!$D40=Worksheet!$A$52,Worksheet!D$52,IF(Request!$D40=Worksheet!$A$53,Worksheet!D$53,IF(Request!$D40=Worksheet!$A$54,Worksheet!D$54,IF(Request!$D40=Worksheet!$A$55,Worksheet!D$55))))))))))),0)+ROUND(O12/Worksheet!$C$5*Worksheet!$C$10*(IF(Request!$D40=Worksheet!$A$47,Worksheet!E$47,IF(Request!$D40=Worksheet!$A$48,Worksheet!E$48,IF(Request!$D40=Worksheet!$A$49,Worksheet!E$49,IF(Request!$D40=Worksheet!$A$50,Worksheet!E$50,IF(Request!$D40=Worksheet!$A$51,Worksheet!E$51,IF(Request!$D40=Worksheet!$A$52,Worksheet!E$52,IF(Request!$D40=Worksheet!$A$53,Worksheet!E$53,IF(Request!$D40=Worksheet!$A$54,Worksheet!E$54,IF(Request!$D40=Worksheet!$A$55,Worksheet!E$55)))))))))),0)))))))</f>
        <v>0</v>
      </c>
      <c r="P40" s="80">
        <f ca="1">IF(AND($D40="F-SMRA",P12=0),0,IF(AND($D40="F-SMRB",P12=0),0,IF(AND($D40="F-SMRC",P12=0),0,IF($D40=Worksheet!$A$68,Worksheet!F300,IF($D40=Worksheet!$A$69,Worksheet!F300,IF($D40=Worksheet!$A$70,Worksheet!F300,ROUND((Request!P12/Worksheet!$C$5*Worksheet!$C$9*(IF(Request!$D40=Worksheet!$A$47,Worksheet!F$47,IF(Request!$D40=Worksheet!$A$48,Worksheet!F$48,IF(Request!$D40=Worksheet!$A$49,Worksheet!F$49,IF(Request!$D40=Worksheet!$A$50,Worksheet!F$50,IF(Request!$D40=Worksheet!$A$51,Worksheet!F$51,IF(Request!$D40=Worksheet!$A$52,Worksheet!F$52,IF(Request!$D40=Worksheet!$A$53,Worksheet!F$53,IF(Request!$D40=Worksheet!$A$54,Worksheet!F$54,IF(Request!$D40=Worksheet!$A$55,Worksheet!F$55))))))))))),0)+ROUND(P12/Worksheet!$C$5*Worksheet!$C$10*(IF(Request!$D40=Worksheet!$A$47,Worksheet!G$47,IF(Request!$D40=Worksheet!$A$48,Worksheet!G$48,IF(Request!$D40=Worksheet!$A$49,Worksheet!G$49,IF(Request!$D40=Worksheet!$A$50,Worksheet!G$50,IF(Request!$D40=Worksheet!$A$51,Worksheet!G$51,IF(Request!$D40=Worksheet!$A$52,Worksheet!G$52,IF(Request!$D40=Worksheet!$A$53,Worksheet!G$53,IF(Request!$D40=Worksheet!$A$54,Worksheet!G$54,IF(Request!$D40=Worksheet!$A$55,Worksheet!G$55)))))))))),0)))))))</f>
        <v>0</v>
      </c>
      <c r="Q40" s="80">
        <f ca="1">IF(AND($D40="F-SMRA",Q12=0),0,IF(AND($D40="F-SMRB",Q12=0),0,IF(AND($D40="F-SMRC",Q12=0),0,IF($D40=Worksheet!$A$68,Worksheet!H300,IF($D40=Worksheet!$A$69,Worksheet!H300,IF($D40=Worksheet!$A$70,Worksheet!H300,ROUND((Request!Q12/Worksheet!$C$5*Worksheet!$C$9*(IF(Request!$D40=Worksheet!$A$47,Worksheet!H$47,IF(Request!$D40=Worksheet!$A$48,Worksheet!H$48,IF(Request!$D40=Worksheet!$A$49,Worksheet!H$49,IF(Request!$D40=Worksheet!$A$50,Worksheet!H$50,IF(Request!$D40=Worksheet!$A$51,Worksheet!H$51,IF(Request!$D40=Worksheet!$A$52,Worksheet!H$52,IF(Request!$D40=Worksheet!$A$53,Worksheet!H$53,IF(Request!$D40=Worksheet!$A$54,Worksheet!H$54,IF(Request!$D40=Worksheet!$A$55,Worksheet!H$55))))))))))),0)+ROUND(Q12/Worksheet!$C$5*Worksheet!$C$10*(IF(Request!$D40=Worksheet!$A$47,Worksheet!I$47,IF(Request!$D40=Worksheet!$A$48,Worksheet!I$48,IF(Request!$D40=Worksheet!$A$49,Worksheet!I$49,IF(Request!$D40=Worksheet!$A$50,Worksheet!I$50,IF(Request!$D40=Worksheet!$A$51,Worksheet!I$51,IF(Request!$D40=Worksheet!$A$52,Worksheet!I$52,IF(Request!$D40=Worksheet!$A$53,Worksheet!I$53,IF(Request!$D40=Worksheet!$A$54,Worksheet!I$54,IF(Request!$D40=Worksheet!$A$55,Worksheet!I$55)))))))))),0)))))))</f>
        <v>0</v>
      </c>
      <c r="R40" s="80">
        <f ca="1">IF(AND($D40="F-SMRA",R12=0),0,IF(AND($D40="F-SMRB",R12=0),0,IF(AND($D40="F-SMRC",R12=0),0,IF($D40=Worksheet!$A$68,Worksheet!J300,IF($D40=Worksheet!$A$69,Worksheet!J300,IF($D40=Worksheet!$A$70,Worksheet!J300,ROUND((Request!R12/Worksheet!$C$5*Worksheet!$C$9*(IF(Request!$D40=Worksheet!$A$47,Worksheet!J$47,IF(Request!$D40=Worksheet!$A$48,Worksheet!J$48,IF(Request!$D40=Worksheet!$A$49,Worksheet!J$49,IF(Request!$D40=Worksheet!$A$50,Worksheet!J$50,IF(Request!$D40=Worksheet!$A$51,Worksheet!J$51,IF(Request!$D40=Worksheet!$A$52,Worksheet!J$52,IF(Request!$D40=Worksheet!$A$53,Worksheet!J$53,IF(Request!$D40=Worksheet!$A$54,Worksheet!J$54,IF(Request!$D40=Worksheet!$A$55,Worksheet!J$55))))))))))),0)+ROUND(R12/Worksheet!$C$5*Worksheet!$C$10*(IF(Request!$D40=Worksheet!$A$47,Worksheet!K$47,IF(Request!$D40=Worksheet!$A$48,Worksheet!K$48,IF(Request!$D40=Worksheet!$A$49,Worksheet!K$49,IF(Request!$D40=Worksheet!$A$50,Worksheet!K$50,IF(Request!$D40=Worksheet!$A$51,Worksheet!K$51,IF(Request!$D40=Worksheet!$A$52,Worksheet!K$52,IF(Request!$D40=Worksheet!$A$53,Worksheet!K$53,IF(Request!$D40=Worksheet!$A$54,Worksheet!K$54,IF(Request!$D40=Worksheet!$A$55,Worksheet!K$55)))))))))),0)))))))</f>
        <v>0</v>
      </c>
      <c r="S40" s="80">
        <f t="shared" ca="1" si="3"/>
        <v>0</v>
      </c>
      <c r="T40" s="65"/>
      <c r="U40" s="65"/>
      <c r="V40" s="65"/>
      <c r="W40" s="65"/>
      <c r="X40" s="65"/>
    </row>
    <row r="41" spans="1:24">
      <c r="A41" s="162">
        <v>7</v>
      </c>
      <c r="B41" s="257">
        <f t="shared" si="2"/>
        <v>0</v>
      </c>
      <c r="C41" s="233"/>
      <c r="D41" s="179" t="s">
        <v>54</v>
      </c>
      <c r="E41" s="202" t="str">
        <f>IF($D41=Worksheet!$A$59,Worksheet!B$59,IF($D41=Worksheet!$A$60,Worksheet!B$60,IF($D41=Worksheet!$A$61,Worksheet!B$61,IF($D41=Worksheet!$A$62,Worksheet!B$62,IF($D41=Worksheet!$A$63,Worksheet!B$63,IF($D41=Worksheet!$A$64,Worksheet!B$64,IF($D41=Worksheet!$A$65,Worksheet!B$65,IF($D41=Worksheet!$A$66,Worksheet!B$66,IF($D41=Worksheet!$A$67,Worksheet!B$67,IF($D41=Worksheet!$A$68,Worksheet!B275,IF($D41=Worksheet!$A$69,Worksheet!B275,IF($D41=Worksheet!$A$70,Worksheet!B275,IF($D41=Worksheet!$A$71,"")))))))))))))</f>
        <v/>
      </c>
      <c r="F41" s="263" t="str">
        <f>IF($D41=Worksheet!$A$59,Worksheet!C$59,IF($D41=Worksheet!$A$60,Worksheet!C$60,IF($D41=Worksheet!$A$61,Worksheet!C$61,IF($D41=Worksheet!$A$62,Worksheet!C$62,IF($D41=Worksheet!$A$63,Worksheet!C$63,IF($D41=Worksheet!$A$64,Worksheet!C$64,IF($D41=Worksheet!$A$65,Worksheet!C$65,IF($D41=Worksheet!$A$66,Worksheet!C$66,IF($D41=Worksheet!$A$67,Worksheet!C$67,IF($D41=Worksheet!$A$68,Worksheet!D275,IF($D41=Worksheet!$A$69,Worksheet!D275,IF($D41=Worksheet!$A$70,Worksheet!D275,IF($D41=Worksheet!$A$71,"")))))))))))))</f>
        <v/>
      </c>
      <c r="G41" s="264"/>
      <c r="H41" s="277" t="str">
        <f>IF($D41=Worksheet!$A$59,Worksheet!D$59,IF($D41=Worksheet!$A$60,Worksheet!D$60,IF($D41=Worksheet!$A$61,Worksheet!D$61,IF($D41=Worksheet!$A$62,Worksheet!D$62,IF($D41=Worksheet!$A$63,Worksheet!D$63,IF($D41=Worksheet!$A$64,Worksheet!D$64,IF($D41=Worksheet!$A$65,Worksheet!D$65,IF($D41=Worksheet!$A$66,Worksheet!D$66,IF($D41=Worksheet!$A$67,Worksheet!D$67,IF($D41=Worksheet!$A$68,Worksheet!F275,IF($D41=Worksheet!$A$69,Worksheet!F275,IF($D41=Worksheet!$A$70,Worksheet!F275,IF($D41=Worksheet!$A$71,"")))))))))))))</f>
        <v/>
      </c>
      <c r="I41" s="278"/>
      <c r="J41" s="277" t="str">
        <f>IF($D41=Worksheet!$A$59,Worksheet!E$59,IF($D41=Worksheet!$A$60,Worksheet!E$60,IF($D41=Worksheet!$A$61,Worksheet!E$61,IF($D41=Worksheet!$A$62,Worksheet!E$62,IF($D41=Worksheet!$A$63,Worksheet!E$63,IF($D41=Worksheet!$A$64,Worksheet!E$64,IF($D41=Worksheet!$A$65,Worksheet!E$65,IF($D41=Worksheet!$A$66,Worksheet!E$66,IF($D41=Worksheet!$A$67,Worksheet!E$67,IF($D41=Worksheet!$A$68,Worksheet!H275,IF($D41=Worksheet!$A$69,Worksheet!H275,IF($D41=Worksheet!$A$70,Worksheet!H275,IF($D41=Worksheet!$A$71,"")))))))))))))</f>
        <v/>
      </c>
      <c r="K41" s="278"/>
      <c r="L41" s="277" t="str">
        <f>IF($D41=Worksheet!$A$59,Worksheet!F$59,IF($D41=Worksheet!$A$60,Worksheet!F$60,IF($D41=Worksheet!$A$61,Worksheet!F$61,IF($D41=Worksheet!$A$62,Worksheet!F$62,IF($D41=Worksheet!$A$63,Worksheet!F$63,IF($D41=Worksheet!$A$64,Worksheet!F$64,IF($D41=Worksheet!$A$65,Worksheet!F$65,IF($D41=Worksheet!$A$66,Worksheet!F$66,IF($D41=Worksheet!$A$67,Worksheet!F$67,IF($D41=Worksheet!$A$68,Worksheet!J275,IF($D41=Worksheet!$A$69,Worksheet!J275,IF($D41=Worksheet!$A$70,Worksheet!J275,IF($D41=Worksheet!$A$71,"")))))))))))))</f>
        <v/>
      </c>
      <c r="M41" s="278"/>
      <c r="N41" s="80">
        <f ca="1">IF(AND(D41="F-SMRA",N13=0),0,IF(AND(D41="F-SMRB",N13=0),0,IF(AND(D41="F-SMRC",N13=0),0,IF($D41=Worksheet!$A$68,Worksheet!B301,IF($D41=Worksheet!$A$69,Worksheet!B301,IF($D41=Worksheet!$A$70,Worksheet!B301,ROUND((Request!N13/Worksheet!$C$5*Worksheet!$C$9*(IF(Request!$D41=Worksheet!$A$47,Worksheet!B$47,IF(Request!$D41=Worksheet!$A$48,Worksheet!B$48,IF(Request!$D41=Worksheet!$A$49,Worksheet!B$49,IF(Request!$D41=Worksheet!$A$50,Worksheet!B$50,IF(Request!$D41=Worksheet!$A$51,Worksheet!B$51,IF(Request!$D41=Worksheet!$A$52,Worksheet!B$52,IF(Request!$D41=Worksheet!$A$53,Worksheet!B$53,IF(Request!$D41=Worksheet!$A$54,Worksheet!B$54,IF(Request!$D41=Worksheet!$A$55,Worksheet!B$55))))))))))),0)+ROUND(N13/Worksheet!$C$5*Worksheet!$C$10*(IF(Request!$D41=Worksheet!$A$47,Worksheet!C$47,IF(Request!$D41=Worksheet!$A$48,Worksheet!C$48,IF(Request!$D41=Worksheet!$A$49,Worksheet!C$49,IF(Request!$D41=Worksheet!$A$50,Worksheet!C$50,IF(Request!$D41=Worksheet!$A$51,Worksheet!C$51,IF(Request!$D41=Worksheet!$A$52,Worksheet!C$52,IF(Request!$D41=Worksheet!$A$53,Worksheet!C$53,IF(Request!$D41=Worksheet!$A$54,Worksheet!C$54,IF(Request!$D41=Worksheet!$A$55,Worksheet!C$55)))))))))),0)))))))</f>
        <v>0</v>
      </c>
      <c r="O41" s="80">
        <f ca="1">IF(AND($D41="F-SMRA",O13=0),0,IF(AND($D41="F-SMRB",O13=0),0,IF(AND($D41="F-SMRC",O13=0),0,IF($D41=Worksheet!$A$68,Worksheet!D301,IF($D41=Worksheet!$A$69,Worksheet!D301,IF($D41=Worksheet!$A$70,Worksheet!D301,ROUND((Request!O13/Worksheet!$C$5*Worksheet!$C$9*(IF(Request!$D41=Worksheet!$A$47,Worksheet!D$47,IF(Request!$D41=Worksheet!$A$48,Worksheet!D$48,IF(Request!$D41=Worksheet!$A$49,Worksheet!D$49,IF(Request!$D41=Worksheet!$A$50,Worksheet!D$50,IF(Request!$D41=Worksheet!$A$51,Worksheet!D$51,IF(Request!$D41=Worksheet!$A$52,Worksheet!D$52,IF(Request!$D41=Worksheet!$A$53,Worksheet!D$53,IF(Request!$D41=Worksheet!$A$54,Worksheet!D$54,IF(Request!$D41=Worksheet!$A$55,Worksheet!D$55))))))))))),0)+ROUND(O13/Worksheet!$C$5*Worksheet!$C$10*(IF(Request!$D41=Worksheet!$A$47,Worksheet!E$47,IF(Request!$D41=Worksheet!$A$48,Worksheet!E$48,IF(Request!$D41=Worksheet!$A$49,Worksheet!E$49,IF(Request!$D41=Worksheet!$A$50,Worksheet!E$50,IF(Request!$D41=Worksheet!$A$51,Worksheet!E$51,IF(Request!$D41=Worksheet!$A$52,Worksheet!E$52,IF(Request!$D41=Worksheet!$A$53,Worksheet!E$53,IF(Request!$D41=Worksheet!$A$54,Worksheet!E$54,IF(Request!$D41=Worksheet!$A$55,Worksheet!E$55)))))))))),0)))))))</f>
        <v>0</v>
      </c>
      <c r="P41" s="80">
        <f ca="1">IF(AND($D41="F-SMRA",P13=0),0,IF(AND($D41="F-SMRB",P13=0),0,IF(AND($D41="F-SMRC",P13=0),0,IF($D41=Worksheet!$A$68,Worksheet!F301,IF($D41=Worksheet!$A$69,Worksheet!F301,IF($D41=Worksheet!$A$70,Worksheet!F301,ROUND((Request!P13/Worksheet!$C$5*Worksheet!$C$9*(IF(Request!$D41=Worksheet!$A$47,Worksheet!F$47,IF(Request!$D41=Worksheet!$A$48,Worksheet!F$48,IF(Request!$D41=Worksheet!$A$49,Worksheet!F$49,IF(Request!$D41=Worksheet!$A$50,Worksheet!F$50,IF(Request!$D41=Worksheet!$A$51,Worksheet!F$51,IF(Request!$D41=Worksheet!$A$52,Worksheet!F$52,IF(Request!$D41=Worksheet!$A$53,Worksheet!F$53,IF(Request!$D41=Worksheet!$A$54,Worksheet!F$54,IF(Request!$D41=Worksheet!$A$55,Worksheet!F$55))))))))))),0)+ROUND(P13/Worksheet!$C$5*Worksheet!$C$10*(IF(Request!$D41=Worksheet!$A$47,Worksheet!G$47,IF(Request!$D41=Worksheet!$A$48,Worksheet!G$48,IF(Request!$D41=Worksheet!$A$49,Worksheet!G$49,IF(Request!$D41=Worksheet!$A$50,Worksheet!G$50,IF(Request!$D41=Worksheet!$A$51,Worksheet!G$51,IF(Request!$D41=Worksheet!$A$52,Worksheet!G$52,IF(Request!$D41=Worksheet!$A$53,Worksheet!G$53,IF(Request!$D41=Worksheet!$A$54,Worksheet!G$54,IF(Request!$D41=Worksheet!$A$55,Worksheet!G$55)))))))))),0)))))))</f>
        <v>0</v>
      </c>
      <c r="Q41" s="80">
        <f ca="1">IF(AND($D41="F-SMRA",Q13=0),0,IF(AND($D41="F-SMRB",Q13=0),0,IF(AND($D41="F-SMRC",Q13=0),0,IF($D41=Worksheet!$A$68,Worksheet!H301,IF($D41=Worksheet!$A$69,Worksheet!H301,IF($D41=Worksheet!$A$70,Worksheet!H301,ROUND((Request!Q13/Worksheet!$C$5*Worksheet!$C$9*(IF(Request!$D41=Worksheet!$A$47,Worksheet!H$47,IF(Request!$D41=Worksheet!$A$48,Worksheet!H$48,IF(Request!$D41=Worksheet!$A$49,Worksheet!H$49,IF(Request!$D41=Worksheet!$A$50,Worksheet!H$50,IF(Request!$D41=Worksheet!$A$51,Worksheet!H$51,IF(Request!$D41=Worksheet!$A$52,Worksheet!H$52,IF(Request!$D41=Worksheet!$A$53,Worksheet!H$53,IF(Request!$D41=Worksheet!$A$54,Worksheet!H$54,IF(Request!$D41=Worksheet!$A$55,Worksheet!H$55))))))))))),0)+ROUND(Q13/Worksheet!$C$5*Worksheet!$C$10*(IF(Request!$D41=Worksheet!$A$47,Worksheet!I$47,IF(Request!$D41=Worksheet!$A$48,Worksheet!I$48,IF(Request!$D41=Worksheet!$A$49,Worksheet!I$49,IF(Request!$D41=Worksheet!$A$50,Worksheet!I$50,IF(Request!$D41=Worksheet!$A$51,Worksheet!I$51,IF(Request!$D41=Worksheet!$A$52,Worksheet!I$52,IF(Request!$D41=Worksheet!$A$53,Worksheet!I$53,IF(Request!$D41=Worksheet!$A$54,Worksheet!I$54,IF(Request!$D41=Worksheet!$A$55,Worksheet!I$55)))))))))),0)))))))</f>
        <v>0</v>
      </c>
      <c r="R41" s="80">
        <f ca="1">IF(AND($D41="F-SMRA",R13=0),0,IF(AND($D41="F-SMRB",R13=0),0,IF(AND($D41="F-SMRC",R13=0),0,IF($D41=Worksheet!$A$68,Worksheet!J301,IF($D41=Worksheet!$A$69,Worksheet!J301,IF($D41=Worksheet!$A$70,Worksheet!J301,ROUND((Request!R13/Worksheet!$C$5*Worksheet!$C$9*(IF(Request!$D41=Worksheet!$A$47,Worksheet!J$47,IF(Request!$D41=Worksheet!$A$48,Worksheet!J$48,IF(Request!$D41=Worksheet!$A$49,Worksheet!J$49,IF(Request!$D41=Worksheet!$A$50,Worksheet!J$50,IF(Request!$D41=Worksheet!$A$51,Worksheet!J$51,IF(Request!$D41=Worksheet!$A$52,Worksheet!J$52,IF(Request!$D41=Worksheet!$A$53,Worksheet!J$53,IF(Request!$D41=Worksheet!$A$54,Worksheet!J$54,IF(Request!$D41=Worksheet!$A$55,Worksheet!J$55))))))))))),0)+ROUND(R13/Worksheet!$C$5*Worksheet!$C$10*(IF(Request!$D41=Worksheet!$A$47,Worksheet!K$47,IF(Request!$D41=Worksheet!$A$48,Worksheet!K$48,IF(Request!$D41=Worksheet!$A$49,Worksheet!K$49,IF(Request!$D41=Worksheet!$A$50,Worksheet!K$50,IF(Request!$D41=Worksheet!$A$51,Worksheet!K$51,IF(Request!$D41=Worksheet!$A$52,Worksheet!K$52,IF(Request!$D41=Worksheet!$A$53,Worksheet!K$53,IF(Request!$D41=Worksheet!$A$54,Worksheet!K$54,IF(Request!$D41=Worksheet!$A$55,Worksheet!K$55)))))))))),0)))))))</f>
        <v>0</v>
      </c>
      <c r="S41" s="80">
        <f t="shared" ca="1" si="3"/>
        <v>0</v>
      </c>
      <c r="T41" s="65"/>
      <c r="U41" s="65"/>
      <c r="V41" s="65"/>
      <c r="W41" s="65"/>
      <c r="X41" s="65"/>
    </row>
    <row r="42" spans="1:24">
      <c r="A42" s="162">
        <v>8</v>
      </c>
      <c r="B42" s="257">
        <f t="shared" si="2"/>
        <v>0</v>
      </c>
      <c r="C42" s="233"/>
      <c r="D42" s="179" t="s">
        <v>54</v>
      </c>
      <c r="E42" s="202" t="str">
        <f>IF($D42=Worksheet!$A$59,Worksheet!B$59,IF($D42=Worksheet!$A$60,Worksheet!B$60,IF($D42=Worksheet!$A$61,Worksheet!B$61,IF($D42=Worksheet!$A$62,Worksheet!B$62,IF($D42=Worksheet!$A$63,Worksheet!B$63,IF($D42=Worksheet!$A$64,Worksheet!B$64,IF($D42=Worksheet!$A$65,Worksheet!B$65,IF($D42=Worksheet!$A$66,Worksheet!B$66,IF($D42=Worksheet!$A$67,Worksheet!B$67,IF($D42=Worksheet!$A$68,Worksheet!B276,IF($D42=Worksheet!$A$69,Worksheet!B276,IF($D42=Worksheet!$A$70,Worksheet!B276,IF($D42=Worksheet!$A$71,"")))))))))))))</f>
        <v/>
      </c>
      <c r="F42" s="263" t="str">
        <f>IF($D42=Worksheet!$A$59,Worksheet!C$59,IF($D42=Worksheet!$A$60,Worksheet!C$60,IF($D42=Worksheet!$A$61,Worksheet!C$61,IF($D42=Worksheet!$A$62,Worksheet!C$62,IF($D42=Worksheet!$A$63,Worksheet!C$63,IF($D42=Worksheet!$A$64,Worksheet!C$64,IF($D42=Worksheet!$A$65,Worksheet!C$65,IF($D42=Worksheet!$A$66,Worksheet!C$66,IF($D42=Worksheet!$A$67,Worksheet!C$67,IF($D42=Worksheet!$A$68,Worksheet!D276,IF($D42=Worksheet!$A$69,Worksheet!D276,IF($D42=Worksheet!$A$70,Worksheet!D276,IF($D42=Worksheet!$A$71,"")))))))))))))</f>
        <v/>
      </c>
      <c r="G42" s="264"/>
      <c r="H42" s="277" t="str">
        <f>IF($D42=Worksheet!$A$59,Worksheet!D$59,IF($D42=Worksheet!$A$60,Worksheet!D$60,IF($D42=Worksheet!$A$61,Worksheet!D$61,IF($D42=Worksheet!$A$62,Worksheet!D$62,IF($D42=Worksheet!$A$63,Worksheet!D$63,IF($D42=Worksheet!$A$64,Worksheet!D$64,IF($D42=Worksheet!$A$65,Worksheet!D$65,IF($D42=Worksheet!$A$66,Worksheet!D$66,IF($D42=Worksheet!$A$67,Worksheet!D$67,IF($D42=Worksheet!$A$68,Worksheet!F276,IF($D42=Worksheet!$A$69,Worksheet!F276,IF($D42=Worksheet!$A$70,Worksheet!F276,IF($D42=Worksheet!$A$71,"")))))))))))))</f>
        <v/>
      </c>
      <c r="I42" s="278"/>
      <c r="J42" s="277" t="str">
        <f>IF($D42=Worksheet!$A$59,Worksheet!E$59,IF($D42=Worksheet!$A$60,Worksheet!E$60,IF($D42=Worksheet!$A$61,Worksheet!E$61,IF($D42=Worksheet!$A$62,Worksheet!E$62,IF($D42=Worksheet!$A$63,Worksheet!E$63,IF($D42=Worksheet!$A$64,Worksheet!E$64,IF($D42=Worksheet!$A$65,Worksheet!E$65,IF($D42=Worksheet!$A$66,Worksheet!E$66,IF($D42=Worksheet!$A$67,Worksheet!E$67,IF($D42=Worksheet!$A$68,Worksheet!H276,IF($D42=Worksheet!$A$69,Worksheet!H276,IF($D42=Worksheet!$A$70,Worksheet!H276,IF($D42=Worksheet!$A$71,"")))))))))))))</f>
        <v/>
      </c>
      <c r="K42" s="278"/>
      <c r="L42" s="277" t="str">
        <f>IF($D42=Worksheet!$A$59,Worksheet!F$59,IF($D42=Worksheet!$A$60,Worksheet!F$60,IF($D42=Worksheet!$A$61,Worksheet!F$61,IF($D42=Worksheet!$A$62,Worksheet!F$62,IF($D42=Worksheet!$A$63,Worksheet!F$63,IF($D42=Worksheet!$A$64,Worksheet!F$64,IF($D42=Worksheet!$A$65,Worksheet!F$65,IF($D42=Worksheet!$A$66,Worksheet!F$66,IF($D42=Worksheet!$A$67,Worksheet!F$67,IF($D42=Worksheet!$A$68,Worksheet!J276,IF($D42=Worksheet!$A$69,Worksheet!J276,IF($D42=Worksheet!$A$70,Worksheet!J276,IF($D42=Worksheet!$A$71,"")))))))))))))</f>
        <v/>
      </c>
      <c r="M42" s="278"/>
      <c r="N42" s="80">
        <f ca="1">IF(AND(D42="F-SMRA",N14=0),0,IF(AND(D42="F-SMRB",N14=0),0,IF(AND(D42="F-SMRC",N14=0),0,IF($D42=Worksheet!$A$68,Worksheet!B302,IF($D42=Worksheet!$A$69,Worksheet!B302,IF($D42=Worksheet!$A$70,Worksheet!B302,ROUND((Request!N14/Worksheet!$C$5*Worksheet!$C$9*(IF(Request!$D42=Worksheet!$A$47,Worksheet!B$47,IF(Request!$D42=Worksheet!$A$48,Worksheet!B$48,IF(Request!$D42=Worksheet!$A$49,Worksheet!B$49,IF(Request!$D42=Worksheet!$A$50,Worksheet!B$50,IF(Request!$D42=Worksheet!$A$51,Worksheet!B$51,IF(Request!$D42=Worksheet!$A$52,Worksheet!B$52,IF(Request!$D42=Worksheet!$A$53,Worksheet!B$53,IF(Request!$D42=Worksheet!$A$54,Worksheet!B$54,IF(Request!$D42=Worksheet!$A$55,Worksheet!B$55))))))))))),0)+ROUND(N14/Worksheet!$C$5*Worksheet!$C$10*(IF(Request!$D42=Worksheet!$A$47,Worksheet!C$47,IF(Request!$D42=Worksheet!$A$48,Worksheet!C$48,IF(Request!$D42=Worksheet!$A$49,Worksheet!C$49,IF(Request!$D42=Worksheet!$A$50,Worksheet!C$50,IF(Request!$D42=Worksheet!$A$51,Worksheet!C$51,IF(Request!$D42=Worksheet!$A$52,Worksheet!C$52,IF(Request!$D42=Worksheet!$A$53,Worksheet!C$53,IF(Request!$D42=Worksheet!$A$54,Worksheet!C$54,IF(Request!$D42=Worksheet!$A$55,Worksheet!C$55)))))))))),0)))))))</f>
        <v>0</v>
      </c>
      <c r="O42" s="80">
        <f ca="1">IF(AND($D42="F-SMRA",O14=0),0,IF(AND($D42="F-SMRB",O14=0),0,IF(AND($D42="F-SMRC",O14=0),0,IF($D42=Worksheet!$A$68,Worksheet!D302,IF($D42=Worksheet!$A$69,Worksheet!D302,IF($D42=Worksheet!$A$70,Worksheet!D302,ROUND((Request!O14/Worksheet!$C$5*Worksheet!$C$9*(IF(Request!$D42=Worksheet!$A$47,Worksheet!D$47,IF(Request!$D42=Worksheet!$A$48,Worksheet!D$48,IF(Request!$D42=Worksheet!$A$49,Worksheet!D$49,IF(Request!$D42=Worksheet!$A$50,Worksheet!D$50,IF(Request!$D42=Worksheet!$A$51,Worksheet!D$51,IF(Request!$D42=Worksheet!$A$52,Worksheet!D$52,IF(Request!$D42=Worksheet!$A$53,Worksheet!D$53,IF(Request!$D42=Worksheet!$A$54,Worksheet!D$54,IF(Request!$D42=Worksheet!$A$55,Worksheet!D$55))))))))))),0)+ROUND(O14/Worksheet!$C$5*Worksheet!$C$10*(IF(Request!$D42=Worksheet!$A$47,Worksheet!E$47,IF(Request!$D42=Worksheet!$A$48,Worksheet!E$48,IF(Request!$D42=Worksheet!$A$49,Worksheet!E$49,IF(Request!$D42=Worksheet!$A$50,Worksheet!E$50,IF(Request!$D42=Worksheet!$A$51,Worksheet!E$51,IF(Request!$D42=Worksheet!$A$52,Worksheet!E$52,IF(Request!$D42=Worksheet!$A$53,Worksheet!E$53,IF(Request!$D42=Worksheet!$A$54,Worksheet!E$54,IF(Request!$D42=Worksheet!$A$55,Worksheet!E$55)))))))))),0)))))))</f>
        <v>0</v>
      </c>
      <c r="P42" s="80">
        <f ca="1">IF(AND($D42="F-SMRA",P14=0),0,IF(AND($D42="F-SMRB",P14=0),0,IF(AND($D42="F-SMRC",P14=0),0,IF($D42=Worksheet!$A$68,Worksheet!F302,IF($D42=Worksheet!$A$69,Worksheet!F302,IF($D42=Worksheet!$A$70,Worksheet!F302,ROUND((Request!P14/Worksheet!$C$5*Worksheet!$C$9*(IF(Request!$D42=Worksheet!$A$47,Worksheet!F$47,IF(Request!$D42=Worksheet!$A$48,Worksheet!F$48,IF(Request!$D42=Worksheet!$A$49,Worksheet!F$49,IF(Request!$D42=Worksheet!$A$50,Worksheet!F$50,IF(Request!$D42=Worksheet!$A$51,Worksheet!F$51,IF(Request!$D42=Worksheet!$A$52,Worksheet!F$52,IF(Request!$D42=Worksheet!$A$53,Worksheet!F$53,IF(Request!$D42=Worksheet!$A$54,Worksheet!F$54,IF(Request!$D42=Worksheet!$A$55,Worksheet!F$55))))))))))),0)+ROUND(P14/Worksheet!$C$5*Worksheet!$C$10*(IF(Request!$D42=Worksheet!$A$47,Worksheet!G$47,IF(Request!$D42=Worksheet!$A$48,Worksheet!G$48,IF(Request!$D42=Worksheet!$A$49,Worksheet!G$49,IF(Request!$D42=Worksheet!$A$50,Worksheet!G$50,IF(Request!$D42=Worksheet!$A$51,Worksheet!G$51,IF(Request!$D42=Worksheet!$A$52,Worksheet!G$52,IF(Request!$D42=Worksheet!$A$53,Worksheet!G$53,IF(Request!$D42=Worksheet!$A$54,Worksheet!G$54,IF(Request!$D42=Worksheet!$A$55,Worksheet!G$55)))))))))),0)))))))</f>
        <v>0</v>
      </c>
      <c r="Q42" s="80">
        <f ca="1">IF(AND($D42="F-SMRA",Q14=0),0,IF(AND($D42="F-SMRB",Q14=0),0,IF(AND($D42="F-SMRC",Q14=0),0,IF($D42=Worksheet!$A$68,Worksheet!H302,IF($D42=Worksheet!$A$69,Worksheet!H302,IF($D42=Worksheet!$A$70,Worksheet!H302,ROUND((Request!Q14/Worksheet!$C$5*Worksheet!$C$9*(IF(Request!$D42=Worksheet!$A$47,Worksheet!H$47,IF(Request!$D42=Worksheet!$A$48,Worksheet!H$48,IF(Request!$D42=Worksheet!$A$49,Worksheet!H$49,IF(Request!$D42=Worksheet!$A$50,Worksheet!H$50,IF(Request!$D42=Worksheet!$A$51,Worksheet!H$51,IF(Request!$D42=Worksheet!$A$52,Worksheet!H$52,IF(Request!$D42=Worksheet!$A$53,Worksheet!H$53,IF(Request!$D42=Worksheet!$A$54,Worksheet!H$54,IF(Request!$D42=Worksheet!$A$55,Worksheet!H$55))))))))))),0)+ROUND(Q14/Worksheet!$C$5*Worksheet!$C$10*(IF(Request!$D42=Worksheet!$A$47,Worksheet!I$47,IF(Request!$D42=Worksheet!$A$48,Worksheet!I$48,IF(Request!$D42=Worksheet!$A$49,Worksheet!I$49,IF(Request!$D42=Worksheet!$A$50,Worksheet!I$50,IF(Request!$D42=Worksheet!$A$51,Worksheet!I$51,IF(Request!$D42=Worksheet!$A$52,Worksheet!I$52,IF(Request!$D42=Worksheet!$A$53,Worksheet!I$53,IF(Request!$D42=Worksheet!$A$54,Worksheet!I$54,IF(Request!$D42=Worksheet!$A$55,Worksheet!I$55)))))))))),0)))))))</f>
        <v>0</v>
      </c>
      <c r="R42" s="80">
        <f ca="1">IF(AND($D42="F-SMRA",R14=0),0,IF(AND($D42="F-SMRB",R14=0),0,IF(AND($D42="F-SMRC",R14=0),0,IF($D42=Worksheet!$A$68,Worksheet!J302,IF($D42=Worksheet!$A$69,Worksheet!J302,IF($D42=Worksheet!$A$70,Worksheet!J302,ROUND((Request!R14/Worksheet!$C$5*Worksheet!$C$9*(IF(Request!$D42=Worksheet!$A$47,Worksheet!J$47,IF(Request!$D42=Worksheet!$A$48,Worksheet!J$48,IF(Request!$D42=Worksheet!$A$49,Worksheet!J$49,IF(Request!$D42=Worksheet!$A$50,Worksheet!J$50,IF(Request!$D42=Worksheet!$A$51,Worksheet!J$51,IF(Request!$D42=Worksheet!$A$52,Worksheet!J$52,IF(Request!$D42=Worksheet!$A$53,Worksheet!J$53,IF(Request!$D42=Worksheet!$A$54,Worksheet!J$54,IF(Request!$D42=Worksheet!$A$55,Worksheet!J$55))))))))))),0)+ROUND(R14/Worksheet!$C$5*Worksheet!$C$10*(IF(Request!$D42=Worksheet!$A$47,Worksheet!K$47,IF(Request!$D42=Worksheet!$A$48,Worksheet!K$48,IF(Request!$D42=Worksheet!$A$49,Worksheet!K$49,IF(Request!$D42=Worksheet!$A$50,Worksheet!K$50,IF(Request!$D42=Worksheet!$A$51,Worksheet!K$51,IF(Request!$D42=Worksheet!$A$52,Worksheet!K$52,IF(Request!$D42=Worksheet!$A$53,Worksheet!K$53,IF(Request!$D42=Worksheet!$A$54,Worksheet!K$54,IF(Request!$D42=Worksheet!$A$55,Worksheet!K$55)))))))))),0)))))))</f>
        <v>0</v>
      </c>
      <c r="S42" s="80">
        <f t="shared" ca="1" si="3"/>
        <v>0</v>
      </c>
      <c r="T42" s="65"/>
      <c r="U42" s="65"/>
      <c r="V42" s="65"/>
      <c r="W42" s="65"/>
      <c r="X42" s="65"/>
    </row>
    <row r="43" spans="1:24" hidden="1">
      <c r="A43" s="162">
        <v>9</v>
      </c>
      <c r="B43" s="257">
        <f t="shared" si="2"/>
        <v>0</v>
      </c>
      <c r="C43" s="233"/>
      <c r="D43" s="179" t="s">
        <v>54</v>
      </c>
      <c r="E43" s="202" t="str">
        <f>IF($D43=Worksheet!$A$59,Worksheet!B$59,IF($D43=Worksheet!$A$60,Worksheet!B$60,IF($D43=Worksheet!$A$61,Worksheet!B$61,IF($D43=Worksheet!$A$62,Worksheet!B$62,IF($D43=Worksheet!$A$63,Worksheet!B$63,IF($D43=Worksheet!$A$64,Worksheet!B$64,IF($D43=Worksheet!$A$65,Worksheet!B$65,IF($D43=Worksheet!$A$66,Worksheet!B$66,IF($D43=Worksheet!$A$67,Worksheet!B$67,IF($D43=Worksheet!$A$68,Worksheet!B277,IF($D43=Worksheet!$A$69,Worksheet!B277,IF($D43=Worksheet!$A$70,Worksheet!B277,IF($D43=Worksheet!$A$71,"")))))))))))))</f>
        <v/>
      </c>
      <c r="F43" s="263" t="str">
        <f>IF($D43=Worksheet!$A$59,Worksheet!C$59,IF($D43=Worksheet!$A$60,Worksheet!C$60,IF($D43=Worksheet!$A$61,Worksheet!C$61,IF($D43=Worksheet!$A$62,Worksheet!C$62,IF($D43=Worksheet!$A$63,Worksheet!C$63,IF($D43=Worksheet!$A$64,Worksheet!C$64,IF($D43=Worksheet!$A$65,Worksheet!C$65,IF($D43=Worksheet!$A$66,Worksheet!C$66,IF($D43=Worksheet!$A$67,Worksheet!C$67,IF($D43=Worksheet!$A$68,Worksheet!D277,IF($D43=Worksheet!$A$69,Worksheet!D277,IF($D43=Worksheet!$A$70,Worksheet!D277,IF($D43=Worksheet!$A$71,"")))))))))))))</f>
        <v/>
      </c>
      <c r="G43" s="264"/>
      <c r="H43" s="277" t="str">
        <f>IF($D43=Worksheet!$A$59,Worksheet!D$59,IF($D43=Worksheet!$A$60,Worksheet!D$60,IF($D43=Worksheet!$A$61,Worksheet!D$61,IF($D43=Worksheet!$A$62,Worksheet!D$62,IF($D43=Worksheet!$A$63,Worksheet!D$63,IF($D43=Worksheet!$A$64,Worksheet!D$64,IF($D43=Worksheet!$A$65,Worksheet!D$65,IF($D43=Worksheet!$A$66,Worksheet!D$66,IF($D43=Worksheet!$A$67,Worksheet!D$67,IF($D43=Worksheet!$A$68,Worksheet!F277,IF($D43=Worksheet!$A$69,Worksheet!F277,IF($D43=Worksheet!$A$70,Worksheet!F277,IF($D43=Worksheet!$A$71,"")))))))))))))</f>
        <v/>
      </c>
      <c r="I43" s="278"/>
      <c r="J43" s="277" t="str">
        <f>IF($D43=Worksheet!$A$59,Worksheet!E$59,IF($D43=Worksheet!$A$60,Worksheet!E$60,IF($D43=Worksheet!$A$61,Worksheet!E$61,IF($D43=Worksheet!$A$62,Worksheet!E$62,IF($D43=Worksheet!$A$63,Worksheet!E$63,IF($D43=Worksheet!$A$64,Worksheet!E$64,IF($D43=Worksheet!$A$65,Worksheet!E$65,IF($D43=Worksheet!$A$66,Worksheet!E$66,IF($D43=Worksheet!$A$67,Worksheet!E$67,IF($D43=Worksheet!$A$68,Worksheet!H277,IF($D43=Worksheet!$A$69,Worksheet!H277,IF($D43=Worksheet!$A$70,Worksheet!H277,IF($D43=Worksheet!$A$71,"")))))))))))))</f>
        <v/>
      </c>
      <c r="K43" s="278"/>
      <c r="L43" s="277" t="str">
        <f>IF($D43=Worksheet!$A$59,Worksheet!F$59,IF($D43=Worksheet!$A$60,Worksheet!F$60,IF($D43=Worksheet!$A$61,Worksheet!F$61,IF($D43=Worksheet!$A$62,Worksheet!F$62,IF($D43=Worksheet!$A$63,Worksheet!F$63,IF($D43=Worksheet!$A$64,Worksheet!F$64,IF($D43=Worksheet!$A$65,Worksheet!F$65,IF($D43=Worksheet!$A$66,Worksheet!F$66,IF($D43=Worksheet!$A$67,Worksheet!F$67,IF($D43=Worksheet!$A$68,Worksheet!J277,IF($D43=Worksheet!$A$69,Worksheet!J277,IF($D43=Worksheet!$A$70,Worksheet!J277,IF($D43=Worksheet!$A$71,"")))))))))))))</f>
        <v/>
      </c>
      <c r="M43" s="278"/>
      <c r="N43" s="80">
        <f ca="1">IF(AND(D43="F-SMRA",N15=0),0,IF(AND(D43="F-SMRB",N15=0),0,IF(AND(D43="F-SMRC",N15=0),0,IF($D43=Worksheet!$A$68,Worksheet!B303,IF($D43=Worksheet!$A$69,Worksheet!B303,IF($D43=Worksheet!$A$70,Worksheet!B303,ROUND((Request!N15/Worksheet!$C$5*Worksheet!$C$9*(IF(Request!$D43=Worksheet!$A$47,Worksheet!B$47,IF(Request!$D43=Worksheet!$A$48,Worksheet!B$48,IF(Request!$D43=Worksheet!$A$49,Worksheet!B$49,IF(Request!$D43=Worksheet!$A$50,Worksheet!B$50,IF(Request!$D43=Worksheet!$A$51,Worksheet!B$51,IF(Request!$D43=Worksheet!$A$52,Worksheet!B$52,IF(Request!$D43=Worksheet!$A$53,Worksheet!B$53,IF(Request!$D43=Worksheet!$A$54,Worksheet!B$54,IF(Request!$D43=Worksheet!$A$55,Worksheet!B$55))))))))))),0)+ROUND(N15/Worksheet!$C$5*Worksheet!$C$10*(IF(Request!$D43=Worksheet!$A$47,Worksheet!C$47,IF(Request!$D43=Worksheet!$A$48,Worksheet!C$48,IF(Request!$D43=Worksheet!$A$49,Worksheet!C$49,IF(Request!$D43=Worksheet!$A$50,Worksheet!C$50,IF(Request!$D43=Worksheet!$A$51,Worksheet!C$51,IF(Request!$D43=Worksheet!$A$52,Worksheet!C$52,IF(Request!$D43=Worksheet!$A$53,Worksheet!C$53,IF(Request!$D43=Worksheet!$A$54,Worksheet!C$54,IF(Request!$D43=Worksheet!$A$55,Worksheet!C$55)))))))))),0)))))))</f>
        <v>0</v>
      </c>
      <c r="O43" s="80">
        <f ca="1">IF(AND($D43="F-SMRA",O15=0),0,IF(AND($D43="F-SMRB",O15=0),0,IF(AND($D43="F-SMRC",O15=0),0,IF($D43=Worksheet!$A$68,Worksheet!D303,IF($D43=Worksheet!$A$69,Worksheet!D303,IF($D43=Worksheet!$A$70,Worksheet!D303,ROUND((Request!O15/Worksheet!$C$5*Worksheet!$C$9*(IF(Request!$D43=Worksheet!$A$47,Worksheet!D$47,IF(Request!$D43=Worksheet!$A$48,Worksheet!D$48,IF(Request!$D43=Worksheet!$A$49,Worksheet!D$49,IF(Request!$D43=Worksheet!$A$50,Worksheet!D$50,IF(Request!$D43=Worksheet!$A$51,Worksheet!D$51,IF(Request!$D43=Worksheet!$A$52,Worksheet!D$52,IF(Request!$D43=Worksheet!$A$53,Worksheet!D$53,IF(Request!$D43=Worksheet!$A$54,Worksheet!D$54,IF(Request!$D43=Worksheet!$A$55,Worksheet!D$55))))))))))),0)+ROUND(O15/Worksheet!$C$5*Worksheet!$C$10*(IF(Request!$D43=Worksheet!$A$47,Worksheet!E$47,IF(Request!$D43=Worksheet!$A$48,Worksheet!E$48,IF(Request!$D43=Worksheet!$A$49,Worksheet!E$49,IF(Request!$D43=Worksheet!$A$50,Worksheet!E$50,IF(Request!$D43=Worksheet!$A$51,Worksheet!E$51,IF(Request!$D43=Worksheet!$A$52,Worksheet!E$52,IF(Request!$D43=Worksheet!$A$53,Worksheet!E$53,IF(Request!$D43=Worksheet!$A$54,Worksheet!E$54,IF(Request!$D43=Worksheet!$A$55,Worksheet!E$55)))))))))),0)))))))</f>
        <v>0</v>
      </c>
      <c r="P43" s="80">
        <f ca="1">IF(AND($D43="F-SMRA",P15=0),0,IF(AND($D43="F-SMRB",P15=0),0,IF(AND($D43="F-SMRC",P15=0),0,IF($D43=Worksheet!$A$68,Worksheet!F303,IF($D43=Worksheet!$A$69,Worksheet!F303,IF($D43=Worksheet!$A$70,Worksheet!F303,ROUND((Request!P15/Worksheet!$C$5*Worksheet!$C$9*(IF(Request!$D43=Worksheet!$A$47,Worksheet!F$47,IF(Request!$D43=Worksheet!$A$48,Worksheet!F$48,IF(Request!$D43=Worksheet!$A$49,Worksheet!F$49,IF(Request!$D43=Worksheet!$A$50,Worksheet!F$50,IF(Request!$D43=Worksheet!$A$51,Worksheet!F$51,IF(Request!$D43=Worksheet!$A$52,Worksheet!F$52,IF(Request!$D43=Worksheet!$A$53,Worksheet!F$53,IF(Request!$D43=Worksheet!$A$54,Worksheet!F$54,IF(Request!$D43=Worksheet!$A$55,Worksheet!F$55))))))))))),0)+ROUND(P15/Worksheet!$C$5*Worksheet!$C$10*(IF(Request!$D43=Worksheet!$A$47,Worksheet!G$47,IF(Request!$D43=Worksheet!$A$48,Worksheet!G$48,IF(Request!$D43=Worksheet!$A$49,Worksheet!G$49,IF(Request!$D43=Worksheet!$A$50,Worksheet!G$50,IF(Request!$D43=Worksheet!$A$51,Worksheet!G$51,IF(Request!$D43=Worksheet!$A$52,Worksheet!G$52,IF(Request!$D43=Worksheet!$A$53,Worksheet!G$53,IF(Request!$D43=Worksheet!$A$54,Worksheet!G$54,IF(Request!$D43=Worksheet!$A$55,Worksheet!G$55)))))))))),0)))))))</f>
        <v>0</v>
      </c>
      <c r="Q43" s="80">
        <f ca="1">IF(AND($D43="F-SMRA",Q15=0),0,IF(AND($D43="F-SMRB",Q15=0),0,IF(AND($D43="F-SMRC",Q15=0),0,IF($D43=Worksheet!$A$68,Worksheet!H303,IF($D43=Worksheet!$A$69,Worksheet!H303,IF($D43=Worksheet!$A$70,Worksheet!H303,ROUND((Request!Q15/Worksheet!$C$5*Worksheet!$C$9*(IF(Request!$D43=Worksheet!$A$47,Worksheet!H$47,IF(Request!$D43=Worksheet!$A$48,Worksheet!H$48,IF(Request!$D43=Worksheet!$A$49,Worksheet!H$49,IF(Request!$D43=Worksheet!$A$50,Worksheet!H$50,IF(Request!$D43=Worksheet!$A$51,Worksheet!H$51,IF(Request!$D43=Worksheet!$A$52,Worksheet!H$52,IF(Request!$D43=Worksheet!$A$53,Worksheet!H$53,IF(Request!$D43=Worksheet!$A$54,Worksheet!H$54,IF(Request!$D43=Worksheet!$A$55,Worksheet!H$55))))))))))),0)+ROUND(Q15/Worksheet!$C$5*Worksheet!$C$10*(IF(Request!$D43=Worksheet!$A$47,Worksheet!I$47,IF(Request!$D43=Worksheet!$A$48,Worksheet!I$48,IF(Request!$D43=Worksheet!$A$49,Worksheet!I$49,IF(Request!$D43=Worksheet!$A$50,Worksheet!I$50,IF(Request!$D43=Worksheet!$A$51,Worksheet!I$51,IF(Request!$D43=Worksheet!$A$52,Worksheet!I$52,IF(Request!$D43=Worksheet!$A$53,Worksheet!I$53,IF(Request!$D43=Worksheet!$A$54,Worksheet!I$54,IF(Request!$D43=Worksheet!$A$55,Worksheet!I$55)))))))))),0)))))))</f>
        <v>0</v>
      </c>
      <c r="R43" s="80">
        <f ca="1">IF(AND($D43="F-SMRA",R15=0),0,IF(AND($D43="F-SMRB",R15=0),0,IF(AND($D43="F-SMRC",R15=0),0,IF($D43=Worksheet!$A$68,Worksheet!J303,IF($D43=Worksheet!$A$69,Worksheet!J303,IF($D43=Worksheet!$A$70,Worksheet!J303,ROUND((Request!R15/Worksheet!$C$5*Worksheet!$C$9*(IF(Request!$D43=Worksheet!$A$47,Worksheet!J$47,IF(Request!$D43=Worksheet!$A$48,Worksheet!J$48,IF(Request!$D43=Worksheet!$A$49,Worksheet!J$49,IF(Request!$D43=Worksheet!$A$50,Worksheet!J$50,IF(Request!$D43=Worksheet!$A$51,Worksheet!J$51,IF(Request!$D43=Worksheet!$A$52,Worksheet!J$52,IF(Request!$D43=Worksheet!$A$53,Worksheet!J$53,IF(Request!$D43=Worksheet!$A$54,Worksheet!J$54,IF(Request!$D43=Worksheet!$A$55,Worksheet!J$55))))))))))),0)+ROUND(R15/Worksheet!$C$5*Worksheet!$C$10*(IF(Request!$D43=Worksheet!$A$47,Worksheet!K$47,IF(Request!$D43=Worksheet!$A$48,Worksheet!K$48,IF(Request!$D43=Worksheet!$A$49,Worksheet!K$49,IF(Request!$D43=Worksheet!$A$50,Worksheet!K$50,IF(Request!$D43=Worksheet!$A$51,Worksheet!K$51,IF(Request!$D43=Worksheet!$A$52,Worksheet!K$52,IF(Request!$D43=Worksheet!$A$53,Worksheet!K$53,IF(Request!$D43=Worksheet!$A$54,Worksheet!K$54,IF(Request!$D43=Worksheet!$A$55,Worksheet!K$55)))))))))),0)))))))</f>
        <v>0</v>
      </c>
      <c r="S43" s="80">
        <f t="shared" ca="1" si="3"/>
        <v>0</v>
      </c>
      <c r="T43" s="65"/>
      <c r="U43" s="65"/>
      <c r="V43" s="65"/>
      <c r="W43" s="65"/>
      <c r="X43" s="65"/>
    </row>
    <row r="44" spans="1:24" hidden="1">
      <c r="A44" s="162">
        <v>10</v>
      </c>
      <c r="B44" s="257">
        <f t="shared" si="2"/>
        <v>0</v>
      </c>
      <c r="C44" s="233"/>
      <c r="D44" s="179" t="s">
        <v>54</v>
      </c>
      <c r="E44" s="202" t="str">
        <f>IF($D44=Worksheet!$A$59,Worksheet!B$59,IF($D44=Worksheet!$A$60,Worksheet!B$60,IF($D44=Worksheet!$A$61,Worksheet!B$61,IF($D44=Worksheet!$A$62,Worksheet!B$62,IF($D44=Worksheet!$A$63,Worksheet!B$63,IF($D44=Worksheet!$A$64,Worksheet!B$64,IF($D44=Worksheet!$A$65,Worksheet!B$65,IF($D44=Worksheet!$A$66,Worksheet!B$66,IF($D44=Worksheet!$A$67,Worksheet!B$67,IF($D44=Worksheet!$A$68,Worksheet!B278,IF($D44=Worksheet!$A$69,Worksheet!B278,IF($D44=Worksheet!$A$70,Worksheet!B278,IF($D44=Worksheet!$A$71,"")))))))))))))</f>
        <v/>
      </c>
      <c r="F44" s="263" t="str">
        <f>IF($D44=Worksheet!$A$59,Worksheet!C$59,IF($D44=Worksheet!$A$60,Worksheet!C$60,IF($D44=Worksheet!$A$61,Worksheet!C$61,IF($D44=Worksheet!$A$62,Worksheet!C$62,IF($D44=Worksheet!$A$63,Worksheet!C$63,IF($D44=Worksheet!$A$64,Worksheet!C$64,IF($D44=Worksheet!$A$65,Worksheet!C$65,IF($D44=Worksheet!$A$66,Worksheet!C$66,IF($D44=Worksheet!$A$67,Worksheet!C$67,IF($D44=Worksheet!$A$68,Worksheet!D278,IF($D44=Worksheet!$A$69,Worksheet!D278,IF($D44=Worksheet!$A$70,Worksheet!D278,IF($D44=Worksheet!$A$71,"")))))))))))))</f>
        <v/>
      </c>
      <c r="G44" s="264"/>
      <c r="H44" s="277" t="str">
        <f>IF($D44=Worksheet!$A$59,Worksheet!D$59,IF($D44=Worksheet!$A$60,Worksheet!D$60,IF($D44=Worksheet!$A$61,Worksheet!D$61,IF($D44=Worksheet!$A$62,Worksheet!D$62,IF($D44=Worksheet!$A$63,Worksheet!D$63,IF($D44=Worksheet!$A$64,Worksheet!D$64,IF($D44=Worksheet!$A$65,Worksheet!D$65,IF($D44=Worksheet!$A$66,Worksheet!D$66,IF($D44=Worksheet!$A$67,Worksheet!D$67,IF($D44=Worksheet!$A$68,Worksheet!F278,IF($D44=Worksheet!$A$69,Worksheet!F278,IF($D44=Worksheet!$A$70,Worksheet!F278,IF($D44=Worksheet!$A$71,"")))))))))))))</f>
        <v/>
      </c>
      <c r="I44" s="278"/>
      <c r="J44" s="277" t="str">
        <f>IF($D44=Worksheet!$A$59,Worksheet!E$59,IF($D44=Worksheet!$A$60,Worksheet!E$60,IF($D44=Worksheet!$A$61,Worksheet!E$61,IF($D44=Worksheet!$A$62,Worksheet!E$62,IF($D44=Worksheet!$A$63,Worksheet!E$63,IF($D44=Worksheet!$A$64,Worksheet!E$64,IF($D44=Worksheet!$A$65,Worksheet!E$65,IF($D44=Worksheet!$A$66,Worksheet!E$66,IF($D44=Worksheet!$A$67,Worksheet!E$67,IF($D44=Worksheet!$A$68,Worksheet!H278,IF($D44=Worksheet!$A$69,Worksheet!H278,IF($D44=Worksheet!$A$70,Worksheet!H278,IF($D44=Worksheet!$A$71,"")))))))))))))</f>
        <v/>
      </c>
      <c r="K44" s="278"/>
      <c r="L44" s="277" t="str">
        <f>IF($D44=Worksheet!$A$59,Worksheet!F$59,IF($D44=Worksheet!$A$60,Worksheet!F$60,IF($D44=Worksheet!$A$61,Worksheet!F$61,IF($D44=Worksheet!$A$62,Worksheet!F$62,IF($D44=Worksheet!$A$63,Worksheet!F$63,IF($D44=Worksheet!$A$64,Worksheet!F$64,IF($D44=Worksheet!$A$65,Worksheet!F$65,IF($D44=Worksheet!$A$66,Worksheet!F$66,IF($D44=Worksheet!$A$67,Worksheet!F$67,IF($D44=Worksheet!$A$68,Worksheet!J278,IF($D44=Worksheet!$A$69,Worksheet!J278,IF($D44=Worksheet!$A$70,Worksheet!J278,IF($D44=Worksheet!$A$71,"")))))))))))))</f>
        <v/>
      </c>
      <c r="M44" s="278"/>
      <c r="N44" s="80">
        <f ca="1">IF(AND(D44="F-SMRA",N16=0),0,IF(AND(D44="F-SMRB",N16=0),0,IF(AND(D44="F-SMRC",N16=0),0,IF($D44=Worksheet!$A$68,Worksheet!B304,IF($D44=Worksheet!$A$69,Worksheet!B304,IF($D44=Worksheet!$A$70,Worksheet!B304,ROUND((Request!N16/Worksheet!$C$5*Worksheet!$C$9*(IF(Request!$D44=Worksheet!$A$47,Worksheet!B$47,IF(Request!$D44=Worksheet!$A$48,Worksheet!B$48,IF(Request!$D44=Worksheet!$A$49,Worksheet!B$49,IF(Request!$D44=Worksheet!$A$50,Worksheet!B$50,IF(Request!$D44=Worksheet!$A$51,Worksheet!B$51,IF(Request!$D44=Worksheet!$A$52,Worksheet!B$52,IF(Request!$D44=Worksheet!$A$53,Worksheet!B$53,IF(Request!$D44=Worksheet!$A$54,Worksheet!B$54,IF(Request!$D44=Worksheet!$A$55,Worksheet!B$55))))))))))),0)+ROUND(N16/Worksheet!$C$5*Worksheet!$C$10*(IF(Request!$D44=Worksheet!$A$47,Worksheet!C$47,IF(Request!$D44=Worksheet!$A$48,Worksheet!C$48,IF(Request!$D44=Worksheet!$A$49,Worksheet!C$49,IF(Request!$D44=Worksheet!$A$50,Worksheet!C$50,IF(Request!$D44=Worksheet!$A$51,Worksheet!C$51,IF(Request!$D44=Worksheet!$A$52,Worksheet!C$52,IF(Request!$D44=Worksheet!$A$53,Worksheet!C$53,IF(Request!$D44=Worksheet!$A$54,Worksheet!C$54,IF(Request!$D44=Worksheet!$A$55,Worksheet!C$55)))))))))),0)))))))</f>
        <v>0</v>
      </c>
      <c r="O44" s="80">
        <f ca="1">IF(AND($D44="F-SMRA",O16=0),0,IF(AND($D44="F-SMRB",O16=0),0,IF(AND($D44="F-SMRC",O16=0),0,IF($D44=Worksheet!$A$68,Worksheet!D304,IF($D44=Worksheet!$A$69,Worksheet!D304,IF($D44=Worksheet!$A$70,Worksheet!D304,ROUND((Request!O16/Worksheet!$C$5*Worksheet!$C$9*(IF(Request!$D44=Worksheet!$A$47,Worksheet!D$47,IF(Request!$D44=Worksheet!$A$48,Worksheet!D$48,IF(Request!$D44=Worksheet!$A$49,Worksheet!D$49,IF(Request!$D44=Worksheet!$A$50,Worksheet!D$50,IF(Request!$D44=Worksheet!$A$51,Worksheet!D$51,IF(Request!$D44=Worksheet!$A$52,Worksheet!D$52,IF(Request!$D44=Worksheet!$A$53,Worksheet!D$53,IF(Request!$D44=Worksheet!$A$54,Worksheet!D$54,IF(Request!$D44=Worksheet!$A$55,Worksheet!D$55))))))))))),0)+ROUND(O16/Worksheet!$C$5*Worksheet!$C$10*(IF(Request!$D44=Worksheet!$A$47,Worksheet!E$47,IF(Request!$D44=Worksheet!$A$48,Worksheet!E$48,IF(Request!$D44=Worksheet!$A$49,Worksheet!E$49,IF(Request!$D44=Worksheet!$A$50,Worksheet!E$50,IF(Request!$D44=Worksheet!$A$51,Worksheet!E$51,IF(Request!$D44=Worksheet!$A$52,Worksheet!E$52,IF(Request!$D44=Worksheet!$A$53,Worksheet!E$53,IF(Request!$D44=Worksheet!$A$54,Worksheet!E$54,IF(Request!$D44=Worksheet!$A$55,Worksheet!E$55)))))))))),0)))))))</f>
        <v>0</v>
      </c>
      <c r="P44" s="80">
        <f ca="1">IF(AND($D44="F-SMRA",P16=0),0,IF(AND($D44="F-SMRB",P16=0),0,IF(AND($D44="F-SMRC",P16=0),0,IF($D44=Worksheet!$A$68,Worksheet!F304,IF($D44=Worksheet!$A$69,Worksheet!F304,IF($D44=Worksheet!$A$70,Worksheet!F304,ROUND((Request!P16/Worksheet!$C$5*Worksheet!$C$9*(IF(Request!$D44=Worksheet!$A$47,Worksheet!F$47,IF(Request!$D44=Worksheet!$A$48,Worksheet!F$48,IF(Request!$D44=Worksheet!$A$49,Worksheet!F$49,IF(Request!$D44=Worksheet!$A$50,Worksheet!F$50,IF(Request!$D44=Worksheet!$A$51,Worksheet!F$51,IF(Request!$D44=Worksheet!$A$52,Worksheet!F$52,IF(Request!$D44=Worksheet!$A$53,Worksheet!F$53,IF(Request!$D44=Worksheet!$A$54,Worksheet!F$54,IF(Request!$D44=Worksheet!$A$55,Worksheet!F$55))))))))))),0)+ROUND(P16/Worksheet!$C$5*Worksheet!$C$10*(IF(Request!$D44=Worksheet!$A$47,Worksheet!G$47,IF(Request!$D44=Worksheet!$A$48,Worksheet!G$48,IF(Request!$D44=Worksheet!$A$49,Worksheet!G$49,IF(Request!$D44=Worksheet!$A$50,Worksheet!G$50,IF(Request!$D44=Worksheet!$A$51,Worksheet!G$51,IF(Request!$D44=Worksheet!$A$52,Worksheet!G$52,IF(Request!$D44=Worksheet!$A$53,Worksheet!G$53,IF(Request!$D44=Worksheet!$A$54,Worksheet!G$54,IF(Request!$D44=Worksheet!$A$55,Worksheet!G$55)))))))))),0)))))))</f>
        <v>0</v>
      </c>
      <c r="Q44" s="80">
        <f ca="1">IF(AND($D44="F-SMRA",Q16=0),0,IF(AND($D44="F-SMRB",Q16=0),0,IF(AND($D44="F-SMRC",Q16=0),0,IF($D44=Worksheet!$A$68,Worksheet!H304,IF($D44=Worksheet!$A$69,Worksheet!H304,IF($D44=Worksheet!$A$70,Worksheet!H304,ROUND((Request!Q16/Worksheet!$C$5*Worksheet!$C$9*(IF(Request!$D44=Worksheet!$A$47,Worksheet!H$47,IF(Request!$D44=Worksheet!$A$48,Worksheet!H$48,IF(Request!$D44=Worksheet!$A$49,Worksheet!H$49,IF(Request!$D44=Worksheet!$A$50,Worksheet!H$50,IF(Request!$D44=Worksheet!$A$51,Worksheet!H$51,IF(Request!$D44=Worksheet!$A$52,Worksheet!H$52,IF(Request!$D44=Worksheet!$A$53,Worksheet!H$53,IF(Request!$D44=Worksheet!$A$54,Worksheet!H$54,IF(Request!$D44=Worksheet!$A$55,Worksheet!H$55))))))))))),0)+ROUND(Q16/Worksheet!$C$5*Worksheet!$C$10*(IF(Request!$D44=Worksheet!$A$47,Worksheet!I$47,IF(Request!$D44=Worksheet!$A$48,Worksheet!I$48,IF(Request!$D44=Worksheet!$A$49,Worksheet!I$49,IF(Request!$D44=Worksheet!$A$50,Worksheet!I$50,IF(Request!$D44=Worksheet!$A$51,Worksheet!I$51,IF(Request!$D44=Worksheet!$A$52,Worksheet!I$52,IF(Request!$D44=Worksheet!$A$53,Worksheet!I$53,IF(Request!$D44=Worksheet!$A$54,Worksheet!I$54,IF(Request!$D44=Worksheet!$A$55,Worksheet!I$55)))))))))),0)))))))</f>
        <v>0</v>
      </c>
      <c r="R44" s="80">
        <f ca="1">IF(AND($D44="F-SMRA",R16=0),0,IF(AND($D44="F-SMRB",R16=0),0,IF(AND($D44="F-SMRC",R16=0),0,IF($D44=Worksheet!$A$68,Worksheet!J304,IF($D44=Worksheet!$A$69,Worksheet!J304,IF($D44=Worksheet!$A$70,Worksheet!J304,ROUND((Request!R16/Worksheet!$C$5*Worksheet!$C$9*(IF(Request!$D44=Worksheet!$A$47,Worksheet!J$47,IF(Request!$D44=Worksheet!$A$48,Worksheet!J$48,IF(Request!$D44=Worksheet!$A$49,Worksheet!J$49,IF(Request!$D44=Worksheet!$A$50,Worksheet!J$50,IF(Request!$D44=Worksheet!$A$51,Worksheet!J$51,IF(Request!$D44=Worksheet!$A$52,Worksheet!J$52,IF(Request!$D44=Worksheet!$A$53,Worksheet!J$53,IF(Request!$D44=Worksheet!$A$54,Worksheet!J$54,IF(Request!$D44=Worksheet!$A$55,Worksheet!J$55))))))))))),0)+ROUND(R16/Worksheet!$C$5*Worksheet!$C$10*(IF(Request!$D44=Worksheet!$A$47,Worksheet!K$47,IF(Request!$D44=Worksheet!$A$48,Worksheet!K$48,IF(Request!$D44=Worksheet!$A$49,Worksheet!K$49,IF(Request!$D44=Worksheet!$A$50,Worksheet!K$50,IF(Request!$D44=Worksheet!$A$51,Worksheet!K$51,IF(Request!$D44=Worksheet!$A$52,Worksheet!K$52,IF(Request!$D44=Worksheet!$A$53,Worksheet!K$53,IF(Request!$D44=Worksheet!$A$54,Worksheet!K$54,IF(Request!$D44=Worksheet!$A$55,Worksheet!K$55)))))))))),0)))))))</f>
        <v>0</v>
      </c>
      <c r="S44" s="80">
        <f t="shared" ca="1" si="3"/>
        <v>0</v>
      </c>
      <c r="T44" s="65"/>
      <c r="U44" s="65"/>
      <c r="V44" s="65"/>
      <c r="W44" s="65"/>
      <c r="X44" s="65"/>
    </row>
    <row r="45" spans="1:24" hidden="1">
      <c r="A45" s="162">
        <v>11</v>
      </c>
      <c r="B45" s="257">
        <f t="shared" si="2"/>
        <v>0</v>
      </c>
      <c r="C45" s="233"/>
      <c r="D45" s="179" t="s">
        <v>54</v>
      </c>
      <c r="E45" s="202" t="str">
        <f>IF($D45=Worksheet!$A$59,Worksheet!B$59,IF($D45=Worksheet!$A$60,Worksheet!B$60,IF($D45=Worksheet!$A$61,Worksheet!B$61,IF($D45=Worksheet!$A$62,Worksheet!B$62,IF($D45=Worksheet!$A$63,Worksheet!B$63,IF($D45=Worksheet!$A$64,Worksheet!B$64,IF($D45=Worksheet!$A$65,Worksheet!B$65,IF($D45=Worksheet!$A$66,Worksheet!B$66,IF($D45=Worksheet!$A$67,Worksheet!B$67,IF($D45=Worksheet!$A$68,Worksheet!B279,IF($D45=Worksheet!$A$69,Worksheet!B279,IF($D45=Worksheet!$A$70,Worksheet!B279,IF($D45=Worksheet!$A$71,"")))))))))))))</f>
        <v/>
      </c>
      <c r="F45" s="263" t="str">
        <f>IF($D45=Worksheet!$A$59,Worksheet!C$59,IF($D45=Worksheet!$A$60,Worksheet!C$60,IF($D45=Worksheet!$A$61,Worksheet!C$61,IF($D45=Worksheet!$A$62,Worksheet!C$62,IF($D45=Worksheet!$A$63,Worksheet!C$63,IF($D45=Worksheet!$A$64,Worksheet!C$64,IF($D45=Worksheet!$A$65,Worksheet!C$65,IF($D45=Worksheet!$A$66,Worksheet!C$66,IF($D45=Worksheet!$A$67,Worksheet!C$67,IF($D45=Worksheet!$A$68,Worksheet!D279,IF($D45=Worksheet!$A$69,Worksheet!D279,IF($D45=Worksheet!$A$70,Worksheet!D279,IF($D45=Worksheet!$A$71,"")))))))))))))</f>
        <v/>
      </c>
      <c r="G45" s="264"/>
      <c r="H45" s="277" t="str">
        <f>IF($D45=Worksheet!$A$59,Worksheet!D$59,IF($D45=Worksheet!$A$60,Worksheet!D$60,IF($D45=Worksheet!$A$61,Worksheet!D$61,IF($D45=Worksheet!$A$62,Worksheet!D$62,IF($D45=Worksheet!$A$63,Worksheet!D$63,IF($D45=Worksheet!$A$64,Worksheet!D$64,IF($D45=Worksheet!$A$65,Worksheet!D$65,IF($D45=Worksheet!$A$66,Worksheet!D$66,IF($D45=Worksheet!$A$67,Worksheet!D$67,IF($D45=Worksheet!$A$68,Worksheet!F279,IF($D45=Worksheet!$A$69,Worksheet!F279,IF($D45=Worksheet!$A$70,Worksheet!F279,IF($D45=Worksheet!$A$71,"")))))))))))))</f>
        <v/>
      </c>
      <c r="I45" s="278"/>
      <c r="J45" s="277" t="str">
        <f>IF($D45=Worksheet!$A$59,Worksheet!E$59,IF($D45=Worksheet!$A$60,Worksheet!E$60,IF($D45=Worksheet!$A$61,Worksheet!E$61,IF($D45=Worksheet!$A$62,Worksheet!E$62,IF($D45=Worksheet!$A$63,Worksheet!E$63,IF($D45=Worksheet!$A$64,Worksheet!E$64,IF($D45=Worksheet!$A$65,Worksheet!E$65,IF($D45=Worksheet!$A$66,Worksheet!E$66,IF($D45=Worksheet!$A$67,Worksheet!E$67,IF($D45=Worksheet!$A$68,Worksheet!H279,IF($D45=Worksheet!$A$69,Worksheet!H279,IF($D45=Worksheet!$A$70,Worksheet!H279,IF($D45=Worksheet!$A$71,"")))))))))))))</f>
        <v/>
      </c>
      <c r="K45" s="278"/>
      <c r="L45" s="277" t="str">
        <f>IF($D45=Worksheet!$A$59,Worksheet!F$59,IF($D45=Worksheet!$A$60,Worksheet!F$60,IF($D45=Worksheet!$A$61,Worksheet!F$61,IF($D45=Worksheet!$A$62,Worksheet!F$62,IF($D45=Worksheet!$A$63,Worksheet!F$63,IF($D45=Worksheet!$A$64,Worksheet!F$64,IF($D45=Worksheet!$A$65,Worksheet!F$65,IF($D45=Worksheet!$A$66,Worksheet!F$66,IF($D45=Worksheet!$A$67,Worksheet!F$67,IF($D45=Worksheet!$A$68,Worksheet!J279,IF($D45=Worksheet!$A$69,Worksheet!J279,IF($D45=Worksheet!$A$70,Worksheet!J279,IF($D45=Worksheet!$A$71,"")))))))))))))</f>
        <v/>
      </c>
      <c r="M45" s="278"/>
      <c r="N45" s="80">
        <f ca="1">IF(AND(D45="F-SMRA",N17=0),0,IF(AND(D45="F-SMRB",N17=0),0,IF(AND(D45="F-SMRC",N17=0),0,IF($D45=Worksheet!$A$68,Worksheet!B305,IF($D45=Worksheet!$A$69,Worksheet!B305,IF($D45=Worksheet!$A$70,Worksheet!B305,ROUND((Request!N17/Worksheet!$C$5*Worksheet!$C$9*(IF(Request!$D45=Worksheet!$A$47,Worksheet!B$47,IF(Request!$D45=Worksheet!$A$48,Worksheet!B$48,IF(Request!$D45=Worksheet!$A$49,Worksheet!B$49,IF(Request!$D45=Worksheet!$A$50,Worksheet!B$50,IF(Request!$D45=Worksheet!$A$51,Worksheet!B$51,IF(Request!$D45=Worksheet!$A$52,Worksheet!B$52,IF(Request!$D45=Worksheet!$A$53,Worksheet!B$53,IF(Request!$D45=Worksheet!$A$54,Worksheet!B$54,IF(Request!$D45=Worksheet!$A$55,Worksheet!B$55))))))))))),0)+ROUND(N17/Worksheet!$C$5*Worksheet!$C$10*(IF(Request!$D45=Worksheet!$A$47,Worksheet!C$47,IF(Request!$D45=Worksheet!$A$48,Worksheet!C$48,IF(Request!$D45=Worksheet!$A$49,Worksheet!C$49,IF(Request!$D45=Worksheet!$A$50,Worksheet!C$50,IF(Request!$D45=Worksheet!$A$51,Worksheet!C$51,IF(Request!$D45=Worksheet!$A$52,Worksheet!C$52,IF(Request!$D45=Worksheet!$A$53,Worksheet!C$53,IF(Request!$D45=Worksheet!$A$54,Worksheet!C$54,IF(Request!$D45=Worksheet!$A$55,Worksheet!C$55)))))))))),0)))))))</f>
        <v>0</v>
      </c>
      <c r="O45" s="80">
        <f ca="1">IF(AND($D45="F-SMRA",O17=0),0,IF(AND($D45="F-SMRB",O17=0),0,IF(AND($D45="F-SMRC",O17=0),0,IF($D45=Worksheet!$A$68,Worksheet!D305,IF($D45=Worksheet!$A$69,Worksheet!D305,IF($D45=Worksheet!$A$70,Worksheet!D305,ROUND((Request!O17/Worksheet!$C$5*Worksheet!$C$9*(IF(Request!$D45=Worksheet!$A$47,Worksheet!D$47,IF(Request!$D45=Worksheet!$A$48,Worksheet!D$48,IF(Request!$D45=Worksheet!$A$49,Worksheet!D$49,IF(Request!$D45=Worksheet!$A$50,Worksheet!D$50,IF(Request!$D45=Worksheet!$A$51,Worksheet!D$51,IF(Request!$D45=Worksheet!$A$52,Worksheet!D$52,IF(Request!$D45=Worksheet!$A$53,Worksheet!D$53,IF(Request!$D45=Worksheet!$A$54,Worksheet!D$54,IF(Request!$D45=Worksheet!$A$55,Worksheet!D$55))))))))))),0)+ROUND(O17/Worksheet!$C$5*Worksheet!$C$10*(IF(Request!$D45=Worksheet!$A$47,Worksheet!E$47,IF(Request!$D45=Worksheet!$A$48,Worksheet!E$48,IF(Request!$D45=Worksheet!$A$49,Worksheet!E$49,IF(Request!$D45=Worksheet!$A$50,Worksheet!E$50,IF(Request!$D45=Worksheet!$A$51,Worksheet!E$51,IF(Request!$D45=Worksheet!$A$52,Worksheet!E$52,IF(Request!$D45=Worksheet!$A$53,Worksheet!E$53,IF(Request!$D45=Worksheet!$A$54,Worksheet!E$54,IF(Request!$D45=Worksheet!$A$55,Worksheet!E$55)))))))))),0)))))))</f>
        <v>0</v>
      </c>
      <c r="P45" s="80">
        <f ca="1">IF(AND($D45="F-SMRA",P17=0),0,IF(AND($D45="F-SMRB",P17=0),0,IF(AND($D45="F-SMRC",P17=0),0,IF($D45=Worksheet!$A$68,Worksheet!F305,IF($D45=Worksheet!$A$69,Worksheet!F305,IF($D45=Worksheet!$A$70,Worksheet!F305,ROUND((Request!P17/Worksheet!$C$5*Worksheet!$C$9*(IF(Request!$D45=Worksheet!$A$47,Worksheet!F$47,IF(Request!$D45=Worksheet!$A$48,Worksheet!F$48,IF(Request!$D45=Worksheet!$A$49,Worksheet!F$49,IF(Request!$D45=Worksheet!$A$50,Worksheet!F$50,IF(Request!$D45=Worksheet!$A$51,Worksheet!F$51,IF(Request!$D45=Worksheet!$A$52,Worksheet!F$52,IF(Request!$D45=Worksheet!$A$53,Worksheet!F$53,IF(Request!$D45=Worksheet!$A$54,Worksheet!F$54,IF(Request!$D45=Worksheet!$A$55,Worksheet!F$55))))))))))),0)+ROUND(P17/Worksheet!$C$5*Worksheet!$C$10*(IF(Request!$D45=Worksheet!$A$47,Worksheet!G$47,IF(Request!$D45=Worksheet!$A$48,Worksheet!G$48,IF(Request!$D45=Worksheet!$A$49,Worksheet!G$49,IF(Request!$D45=Worksheet!$A$50,Worksheet!G$50,IF(Request!$D45=Worksheet!$A$51,Worksheet!G$51,IF(Request!$D45=Worksheet!$A$52,Worksheet!G$52,IF(Request!$D45=Worksheet!$A$53,Worksheet!G$53,IF(Request!$D45=Worksheet!$A$54,Worksheet!G$54,IF(Request!$D45=Worksheet!$A$55,Worksheet!G$55)))))))))),0)))))))</f>
        <v>0</v>
      </c>
      <c r="Q45" s="80">
        <f ca="1">IF(AND($D45="F-SMRA",Q17=0),0,IF(AND($D45="F-SMRB",Q17=0),0,IF(AND($D45="F-SMRC",Q17=0),0,IF($D45=Worksheet!$A$68,Worksheet!H305,IF($D45=Worksheet!$A$69,Worksheet!H305,IF($D45=Worksheet!$A$70,Worksheet!H305,ROUND((Request!Q17/Worksheet!$C$5*Worksheet!$C$9*(IF(Request!$D45=Worksheet!$A$47,Worksheet!H$47,IF(Request!$D45=Worksheet!$A$48,Worksheet!H$48,IF(Request!$D45=Worksheet!$A$49,Worksheet!H$49,IF(Request!$D45=Worksheet!$A$50,Worksheet!H$50,IF(Request!$D45=Worksheet!$A$51,Worksheet!H$51,IF(Request!$D45=Worksheet!$A$52,Worksheet!H$52,IF(Request!$D45=Worksheet!$A$53,Worksheet!H$53,IF(Request!$D45=Worksheet!$A$54,Worksheet!H$54,IF(Request!$D45=Worksheet!$A$55,Worksheet!H$55))))))))))),0)+ROUND(Q17/Worksheet!$C$5*Worksheet!$C$10*(IF(Request!$D45=Worksheet!$A$47,Worksheet!I$47,IF(Request!$D45=Worksheet!$A$48,Worksheet!I$48,IF(Request!$D45=Worksheet!$A$49,Worksheet!I$49,IF(Request!$D45=Worksheet!$A$50,Worksheet!I$50,IF(Request!$D45=Worksheet!$A$51,Worksheet!I$51,IF(Request!$D45=Worksheet!$A$52,Worksheet!I$52,IF(Request!$D45=Worksheet!$A$53,Worksheet!I$53,IF(Request!$D45=Worksheet!$A$54,Worksheet!I$54,IF(Request!$D45=Worksheet!$A$55,Worksheet!I$55)))))))))),0)))))))</f>
        <v>0</v>
      </c>
      <c r="R45" s="80">
        <f ca="1">IF(AND($D45="F-SMRA",R17=0),0,IF(AND($D45="F-SMRB",R17=0),0,IF(AND($D45="F-SMRC",R17=0),0,IF($D45=Worksheet!$A$68,Worksheet!J305,IF($D45=Worksheet!$A$69,Worksheet!J305,IF($D45=Worksheet!$A$70,Worksheet!J305,ROUND((Request!R17/Worksheet!$C$5*Worksheet!$C$9*(IF(Request!$D45=Worksheet!$A$47,Worksheet!J$47,IF(Request!$D45=Worksheet!$A$48,Worksheet!J$48,IF(Request!$D45=Worksheet!$A$49,Worksheet!J$49,IF(Request!$D45=Worksheet!$A$50,Worksheet!J$50,IF(Request!$D45=Worksheet!$A$51,Worksheet!J$51,IF(Request!$D45=Worksheet!$A$52,Worksheet!J$52,IF(Request!$D45=Worksheet!$A$53,Worksheet!J$53,IF(Request!$D45=Worksheet!$A$54,Worksheet!J$54,IF(Request!$D45=Worksheet!$A$55,Worksheet!J$55))))))))))),0)+ROUND(R17/Worksheet!$C$5*Worksheet!$C$10*(IF(Request!$D45=Worksheet!$A$47,Worksheet!K$47,IF(Request!$D45=Worksheet!$A$48,Worksheet!K$48,IF(Request!$D45=Worksheet!$A$49,Worksheet!K$49,IF(Request!$D45=Worksheet!$A$50,Worksheet!K$50,IF(Request!$D45=Worksheet!$A$51,Worksheet!K$51,IF(Request!$D45=Worksheet!$A$52,Worksheet!K$52,IF(Request!$D45=Worksheet!$A$53,Worksheet!K$53,IF(Request!$D45=Worksheet!$A$54,Worksheet!K$54,IF(Request!$D45=Worksheet!$A$55,Worksheet!K$55)))))))))),0)))))))</f>
        <v>0</v>
      </c>
      <c r="S45" s="80">
        <f t="shared" ca="1" si="3"/>
        <v>0</v>
      </c>
      <c r="T45" s="65"/>
      <c r="U45" s="65"/>
      <c r="V45" s="65"/>
      <c r="W45" s="65"/>
      <c r="X45" s="65"/>
    </row>
    <row r="46" spans="1:24" hidden="1">
      <c r="A46" s="162">
        <v>12</v>
      </c>
      <c r="B46" s="257">
        <f t="shared" si="2"/>
        <v>0</v>
      </c>
      <c r="C46" s="233"/>
      <c r="D46" s="179" t="s">
        <v>54</v>
      </c>
      <c r="E46" s="202" t="str">
        <f>IF($D46=Worksheet!$A$59,Worksheet!B$59,IF($D46=Worksheet!$A$60,Worksheet!B$60,IF($D46=Worksheet!$A$61,Worksheet!B$61,IF($D46=Worksheet!$A$62,Worksheet!B$62,IF($D46=Worksheet!$A$63,Worksheet!B$63,IF($D46=Worksheet!$A$64,Worksheet!B$64,IF($D46=Worksheet!$A$65,Worksheet!B$65,IF($D46=Worksheet!$A$66,Worksheet!B$66,IF($D46=Worksheet!$A$67,Worksheet!B$67,IF($D46=Worksheet!$A$68,Worksheet!B280,IF($D46=Worksheet!$A$69,Worksheet!B280,IF($D46=Worksheet!$A$70,Worksheet!B280,IF($D46=Worksheet!$A$71,"")))))))))))))</f>
        <v/>
      </c>
      <c r="F46" s="263" t="str">
        <f>IF($D46=Worksheet!$A$59,Worksheet!C$59,IF($D46=Worksheet!$A$60,Worksheet!C$60,IF($D46=Worksheet!$A$61,Worksheet!C$61,IF($D46=Worksheet!$A$62,Worksheet!C$62,IF($D46=Worksheet!$A$63,Worksheet!C$63,IF($D46=Worksheet!$A$64,Worksheet!C$64,IF($D46=Worksheet!$A$65,Worksheet!C$65,IF($D46=Worksheet!$A$66,Worksheet!C$66,IF($D46=Worksheet!$A$67,Worksheet!C$67,IF($D46=Worksheet!$A$68,Worksheet!D280,IF($D46=Worksheet!$A$69,Worksheet!D280,IF($D46=Worksheet!$A$70,Worksheet!D280,IF($D46=Worksheet!$A$71,"")))))))))))))</f>
        <v/>
      </c>
      <c r="G46" s="264"/>
      <c r="H46" s="277" t="str">
        <f>IF($D46=Worksheet!$A$59,Worksheet!D$59,IF($D46=Worksheet!$A$60,Worksheet!D$60,IF($D46=Worksheet!$A$61,Worksheet!D$61,IF($D46=Worksheet!$A$62,Worksheet!D$62,IF($D46=Worksheet!$A$63,Worksheet!D$63,IF($D46=Worksheet!$A$64,Worksheet!D$64,IF($D46=Worksheet!$A$65,Worksheet!D$65,IF($D46=Worksheet!$A$66,Worksheet!D$66,IF($D46=Worksheet!$A$67,Worksheet!D$67,IF($D46=Worksheet!$A$68,Worksheet!F280,IF($D46=Worksheet!$A$69,Worksheet!F280,IF($D46=Worksheet!$A$70,Worksheet!F280,IF($D46=Worksheet!$A$71,"")))))))))))))</f>
        <v/>
      </c>
      <c r="I46" s="278"/>
      <c r="J46" s="277" t="str">
        <f>IF($D46=Worksheet!$A$59,Worksheet!E$59,IF($D46=Worksheet!$A$60,Worksheet!E$60,IF($D46=Worksheet!$A$61,Worksheet!E$61,IF($D46=Worksheet!$A$62,Worksheet!E$62,IF($D46=Worksheet!$A$63,Worksheet!E$63,IF($D46=Worksheet!$A$64,Worksheet!E$64,IF($D46=Worksheet!$A$65,Worksheet!E$65,IF($D46=Worksheet!$A$66,Worksheet!E$66,IF($D46=Worksheet!$A$67,Worksheet!E$67,IF($D46=Worksheet!$A$68,Worksheet!H280,IF($D46=Worksheet!$A$69,Worksheet!H280,IF($D46=Worksheet!$A$70,Worksheet!H280,IF($D46=Worksheet!$A$71,"")))))))))))))</f>
        <v/>
      </c>
      <c r="K46" s="278"/>
      <c r="L46" s="277" t="str">
        <f>IF($D46=Worksheet!$A$59,Worksheet!F$59,IF($D46=Worksheet!$A$60,Worksheet!F$60,IF($D46=Worksheet!$A$61,Worksheet!F$61,IF($D46=Worksheet!$A$62,Worksheet!F$62,IF($D46=Worksheet!$A$63,Worksheet!F$63,IF($D46=Worksheet!$A$64,Worksheet!F$64,IF($D46=Worksheet!$A$65,Worksheet!F$65,IF($D46=Worksheet!$A$66,Worksheet!F$66,IF($D46=Worksheet!$A$67,Worksheet!F$67,IF($D46=Worksheet!$A$68,Worksheet!J280,IF($D46=Worksheet!$A$69,Worksheet!J280,IF($D46=Worksheet!$A$70,Worksheet!J280,IF($D46=Worksheet!$A$71,"")))))))))))))</f>
        <v/>
      </c>
      <c r="M46" s="278"/>
      <c r="N46" s="80">
        <f ca="1">IF(AND(D46="F-SMRA",N18=0),0,IF(AND(D46="F-SMRB",N18=0),0,IF(AND(D46="F-SMRC",N18=0),0,IF($D46=Worksheet!$A$68,Worksheet!B306,IF($D46=Worksheet!$A$69,Worksheet!B306,IF($D46=Worksheet!$A$70,Worksheet!B306,ROUND((Request!N18/Worksheet!$C$5*Worksheet!$C$9*(IF(Request!$D46=Worksheet!$A$47,Worksheet!B$47,IF(Request!$D46=Worksheet!$A$48,Worksheet!B$48,IF(Request!$D46=Worksheet!$A$49,Worksheet!B$49,IF(Request!$D46=Worksheet!$A$50,Worksheet!B$50,IF(Request!$D46=Worksheet!$A$51,Worksheet!B$51,IF(Request!$D46=Worksheet!$A$52,Worksheet!B$52,IF(Request!$D46=Worksheet!$A$53,Worksheet!B$53,IF(Request!$D46=Worksheet!$A$54,Worksheet!B$54,IF(Request!$D46=Worksheet!$A$55,Worksheet!B$55))))))))))),0)+ROUND(N18/Worksheet!$C$5*Worksheet!$C$10*(IF(Request!$D46=Worksheet!$A$47,Worksheet!C$47,IF(Request!$D46=Worksheet!$A$48,Worksheet!C$48,IF(Request!$D46=Worksheet!$A$49,Worksheet!C$49,IF(Request!$D46=Worksheet!$A$50,Worksheet!C$50,IF(Request!$D46=Worksheet!$A$51,Worksheet!C$51,IF(Request!$D46=Worksheet!$A$52,Worksheet!C$52,IF(Request!$D46=Worksheet!$A$53,Worksheet!C$53,IF(Request!$D46=Worksheet!$A$54,Worksheet!C$54,IF(Request!$D46=Worksheet!$A$55,Worksheet!C$55)))))))))),0)))))))</f>
        <v>0</v>
      </c>
      <c r="O46" s="80">
        <f ca="1">IF(AND($D46="F-SMRA",O18=0),0,IF(AND($D46="F-SMRB",O18=0),0,IF(AND($D46="F-SMRC",O18=0),0,IF($D46=Worksheet!$A$68,Worksheet!D306,IF($D46=Worksheet!$A$69,Worksheet!D306,IF($D46=Worksheet!$A$70,Worksheet!D306,ROUND((Request!O18/Worksheet!$C$5*Worksheet!$C$9*(IF(Request!$D46=Worksheet!$A$47,Worksheet!D$47,IF(Request!$D46=Worksheet!$A$48,Worksheet!D$48,IF(Request!$D46=Worksheet!$A$49,Worksheet!D$49,IF(Request!$D46=Worksheet!$A$50,Worksheet!D$50,IF(Request!$D46=Worksheet!$A$51,Worksheet!D$51,IF(Request!$D46=Worksheet!$A$52,Worksheet!D$52,IF(Request!$D46=Worksheet!$A$53,Worksheet!D$53,IF(Request!$D46=Worksheet!$A$54,Worksheet!D$54,IF(Request!$D46=Worksheet!$A$55,Worksheet!D$55))))))))))),0)+ROUND(O18/Worksheet!$C$5*Worksheet!$C$10*(IF(Request!$D46=Worksheet!$A$47,Worksheet!E$47,IF(Request!$D46=Worksheet!$A$48,Worksheet!E$48,IF(Request!$D46=Worksheet!$A$49,Worksheet!E$49,IF(Request!$D46=Worksheet!$A$50,Worksheet!E$50,IF(Request!$D46=Worksheet!$A$51,Worksheet!E$51,IF(Request!$D46=Worksheet!$A$52,Worksheet!E$52,IF(Request!$D46=Worksheet!$A$53,Worksheet!E$53,IF(Request!$D46=Worksheet!$A$54,Worksheet!E$54,IF(Request!$D46=Worksheet!$A$55,Worksheet!E$55)))))))))),0)))))))</f>
        <v>0</v>
      </c>
      <c r="P46" s="80">
        <f ca="1">IF(AND($D46="F-SMRA",P18=0),0,IF(AND($D46="F-SMRB",P18=0),0,IF(AND($D46="F-SMRC",P18=0),0,IF($D46=Worksheet!$A$68,Worksheet!F306,IF($D46=Worksheet!$A$69,Worksheet!F306,IF($D46=Worksheet!$A$70,Worksheet!F306,ROUND((Request!P18/Worksheet!$C$5*Worksheet!$C$9*(IF(Request!$D46=Worksheet!$A$47,Worksheet!F$47,IF(Request!$D46=Worksheet!$A$48,Worksheet!F$48,IF(Request!$D46=Worksheet!$A$49,Worksheet!F$49,IF(Request!$D46=Worksheet!$A$50,Worksheet!F$50,IF(Request!$D46=Worksheet!$A$51,Worksheet!F$51,IF(Request!$D46=Worksheet!$A$52,Worksheet!F$52,IF(Request!$D46=Worksheet!$A$53,Worksheet!F$53,IF(Request!$D46=Worksheet!$A$54,Worksheet!F$54,IF(Request!$D46=Worksheet!$A$55,Worksheet!F$55))))))))))),0)+ROUND(P18/Worksheet!$C$5*Worksheet!$C$10*(IF(Request!$D46=Worksheet!$A$47,Worksheet!G$47,IF(Request!$D46=Worksheet!$A$48,Worksheet!G$48,IF(Request!$D46=Worksheet!$A$49,Worksheet!G$49,IF(Request!$D46=Worksheet!$A$50,Worksheet!G$50,IF(Request!$D46=Worksheet!$A$51,Worksheet!G$51,IF(Request!$D46=Worksheet!$A$52,Worksheet!G$52,IF(Request!$D46=Worksheet!$A$53,Worksheet!G$53,IF(Request!$D46=Worksheet!$A$54,Worksheet!G$54,IF(Request!$D46=Worksheet!$A$55,Worksheet!G$55)))))))))),0)))))))</f>
        <v>0</v>
      </c>
      <c r="Q46" s="80">
        <f ca="1">IF(AND($D46="F-SMRA",Q18=0),0,IF(AND($D46="F-SMRB",Q18=0),0,IF(AND($D46="F-SMRC",Q18=0),0,IF($D46=Worksheet!$A$68,Worksheet!H306,IF($D46=Worksheet!$A$69,Worksheet!H306,IF($D46=Worksheet!$A$70,Worksheet!H306,ROUND((Request!Q18/Worksheet!$C$5*Worksheet!$C$9*(IF(Request!$D46=Worksheet!$A$47,Worksheet!H$47,IF(Request!$D46=Worksheet!$A$48,Worksheet!H$48,IF(Request!$D46=Worksheet!$A$49,Worksheet!H$49,IF(Request!$D46=Worksheet!$A$50,Worksheet!H$50,IF(Request!$D46=Worksheet!$A$51,Worksheet!H$51,IF(Request!$D46=Worksheet!$A$52,Worksheet!H$52,IF(Request!$D46=Worksheet!$A$53,Worksheet!H$53,IF(Request!$D46=Worksheet!$A$54,Worksheet!H$54,IF(Request!$D46=Worksheet!$A$55,Worksheet!H$55))))))))))),0)+ROUND(Q18/Worksheet!$C$5*Worksheet!$C$10*(IF(Request!$D46=Worksheet!$A$47,Worksheet!I$47,IF(Request!$D46=Worksheet!$A$48,Worksheet!I$48,IF(Request!$D46=Worksheet!$A$49,Worksheet!I$49,IF(Request!$D46=Worksheet!$A$50,Worksheet!I$50,IF(Request!$D46=Worksheet!$A$51,Worksheet!I$51,IF(Request!$D46=Worksheet!$A$52,Worksheet!I$52,IF(Request!$D46=Worksheet!$A$53,Worksheet!I$53,IF(Request!$D46=Worksheet!$A$54,Worksheet!I$54,IF(Request!$D46=Worksheet!$A$55,Worksheet!I$55)))))))))),0)))))))</f>
        <v>0</v>
      </c>
      <c r="R46" s="80">
        <f ca="1">IF(AND($D46="F-SMRA",R18=0),0,IF(AND($D46="F-SMRB",R18=0),0,IF(AND($D46="F-SMRC",R18=0),0,IF($D46=Worksheet!$A$68,Worksheet!J306,IF($D46=Worksheet!$A$69,Worksheet!J306,IF($D46=Worksheet!$A$70,Worksheet!J306,ROUND((Request!R18/Worksheet!$C$5*Worksheet!$C$9*(IF(Request!$D46=Worksheet!$A$47,Worksheet!J$47,IF(Request!$D46=Worksheet!$A$48,Worksheet!J$48,IF(Request!$D46=Worksheet!$A$49,Worksheet!J$49,IF(Request!$D46=Worksheet!$A$50,Worksheet!J$50,IF(Request!$D46=Worksheet!$A$51,Worksheet!J$51,IF(Request!$D46=Worksheet!$A$52,Worksheet!J$52,IF(Request!$D46=Worksheet!$A$53,Worksheet!J$53,IF(Request!$D46=Worksheet!$A$54,Worksheet!J$54,IF(Request!$D46=Worksheet!$A$55,Worksheet!J$55))))))))))),0)+ROUND(R18/Worksheet!$C$5*Worksheet!$C$10*(IF(Request!$D46=Worksheet!$A$47,Worksheet!K$47,IF(Request!$D46=Worksheet!$A$48,Worksheet!K$48,IF(Request!$D46=Worksheet!$A$49,Worksheet!K$49,IF(Request!$D46=Worksheet!$A$50,Worksheet!K$50,IF(Request!$D46=Worksheet!$A$51,Worksheet!K$51,IF(Request!$D46=Worksheet!$A$52,Worksheet!K$52,IF(Request!$D46=Worksheet!$A$53,Worksheet!K$53,IF(Request!$D46=Worksheet!$A$54,Worksheet!K$54,IF(Request!$D46=Worksheet!$A$55,Worksheet!K$55)))))))))),0)))))))</f>
        <v>0</v>
      </c>
      <c r="S46" s="80">
        <f t="shared" ca="1" si="3"/>
        <v>0</v>
      </c>
      <c r="T46" s="65"/>
      <c r="U46" s="65"/>
      <c r="V46" s="65"/>
      <c r="W46" s="65"/>
      <c r="X46" s="65"/>
    </row>
    <row r="47" spans="1:24" hidden="1">
      <c r="A47" s="162">
        <v>13</v>
      </c>
      <c r="B47" s="257">
        <f t="shared" si="2"/>
        <v>0</v>
      </c>
      <c r="C47" s="233"/>
      <c r="D47" s="179" t="s">
        <v>54</v>
      </c>
      <c r="E47" s="202" t="str">
        <f>IF($D47=Worksheet!$A$59,Worksheet!B$59,IF($D47=Worksheet!$A$60,Worksheet!B$60,IF($D47=Worksheet!$A$61,Worksheet!B$61,IF($D47=Worksheet!$A$62,Worksheet!B$62,IF($D47=Worksheet!$A$63,Worksheet!B$63,IF($D47=Worksheet!$A$64,Worksheet!B$64,IF($D47=Worksheet!$A$65,Worksheet!B$65,IF($D47=Worksheet!$A$66,Worksheet!B$66,IF($D47=Worksheet!$A$67,Worksheet!B$67,IF($D47=Worksheet!$A$68,Worksheet!B281,IF($D47=Worksheet!$A$69,Worksheet!B281,IF($D47=Worksheet!$A$70,Worksheet!B281,IF($D47=Worksheet!$A$71,"")))))))))))))</f>
        <v/>
      </c>
      <c r="F47" s="263" t="str">
        <f>IF($D47=Worksheet!$A$59,Worksheet!C$59,IF($D47=Worksheet!$A$60,Worksheet!C$60,IF($D47=Worksheet!$A$61,Worksheet!C$61,IF($D47=Worksheet!$A$62,Worksheet!C$62,IF($D47=Worksheet!$A$63,Worksheet!C$63,IF($D47=Worksheet!$A$64,Worksheet!C$64,IF($D47=Worksheet!$A$65,Worksheet!C$65,IF($D47=Worksheet!$A$66,Worksheet!C$66,IF($D47=Worksheet!$A$67,Worksheet!C$67,IF($D47=Worksheet!$A$68,Worksheet!D281,IF($D47=Worksheet!$A$69,Worksheet!D281,IF($D47=Worksheet!$A$70,Worksheet!D281,IF($D47=Worksheet!$A$71,"")))))))))))))</f>
        <v/>
      </c>
      <c r="G47" s="264"/>
      <c r="H47" s="277" t="str">
        <f>IF($D47=Worksheet!$A$59,Worksheet!D$59,IF($D47=Worksheet!$A$60,Worksheet!D$60,IF($D47=Worksheet!$A$61,Worksheet!D$61,IF($D47=Worksheet!$A$62,Worksheet!D$62,IF($D47=Worksheet!$A$63,Worksheet!D$63,IF($D47=Worksheet!$A$64,Worksheet!D$64,IF($D47=Worksheet!$A$65,Worksheet!D$65,IF($D47=Worksheet!$A$66,Worksheet!D$66,IF($D47=Worksheet!$A$67,Worksheet!D$67,IF($D47=Worksheet!$A$68,Worksheet!F281,IF($D47=Worksheet!$A$69,Worksheet!F281,IF($D47=Worksheet!$A$70,Worksheet!F281,IF($D47=Worksheet!$A$71,"")))))))))))))</f>
        <v/>
      </c>
      <c r="I47" s="278"/>
      <c r="J47" s="277" t="str">
        <f>IF($D47=Worksheet!$A$59,Worksheet!E$59,IF($D47=Worksheet!$A$60,Worksheet!E$60,IF($D47=Worksheet!$A$61,Worksheet!E$61,IF($D47=Worksheet!$A$62,Worksheet!E$62,IF($D47=Worksheet!$A$63,Worksheet!E$63,IF($D47=Worksheet!$A$64,Worksheet!E$64,IF($D47=Worksheet!$A$65,Worksheet!E$65,IF($D47=Worksheet!$A$66,Worksheet!E$66,IF($D47=Worksheet!$A$67,Worksheet!E$67,IF($D47=Worksheet!$A$68,Worksheet!H281,IF($D47=Worksheet!$A$69,Worksheet!H281,IF($D47=Worksheet!$A$70,Worksheet!H281,IF($D47=Worksheet!$A$71,"")))))))))))))</f>
        <v/>
      </c>
      <c r="K47" s="278"/>
      <c r="L47" s="277" t="str">
        <f>IF($D47=Worksheet!$A$59,Worksheet!F$59,IF($D47=Worksheet!$A$60,Worksheet!F$60,IF($D47=Worksheet!$A$61,Worksheet!F$61,IF($D47=Worksheet!$A$62,Worksheet!F$62,IF($D47=Worksheet!$A$63,Worksheet!F$63,IF($D47=Worksheet!$A$64,Worksheet!F$64,IF($D47=Worksheet!$A$65,Worksheet!F$65,IF($D47=Worksheet!$A$66,Worksheet!F$66,IF($D47=Worksheet!$A$67,Worksheet!F$67,IF($D47=Worksheet!$A$68,Worksheet!J281,IF($D47=Worksheet!$A$69,Worksheet!J281,IF($D47=Worksheet!$A$70,Worksheet!J281,IF($D47=Worksheet!$A$71,"")))))))))))))</f>
        <v/>
      </c>
      <c r="M47" s="278"/>
      <c r="N47" s="80">
        <f ca="1">IF(AND(D47="F-SMRA",N19=0),0,IF(AND(D47="F-SMRB",N19=0),0,IF(AND(D47="F-SMRC",N19=0),0,IF($D47=Worksheet!$A$68,Worksheet!B307,IF($D47=Worksheet!$A$69,Worksheet!B307,IF($D47=Worksheet!$A$70,Worksheet!B307,ROUND((Request!N19/Worksheet!$C$5*Worksheet!$C$9*(IF(Request!$D47=Worksheet!$A$47,Worksheet!B$47,IF(Request!$D47=Worksheet!$A$48,Worksheet!B$48,IF(Request!$D47=Worksheet!$A$49,Worksheet!B$49,IF(Request!$D47=Worksheet!$A$50,Worksheet!B$50,IF(Request!$D47=Worksheet!$A$51,Worksheet!B$51,IF(Request!$D47=Worksheet!$A$52,Worksheet!B$52,IF(Request!$D47=Worksheet!$A$53,Worksheet!B$53,IF(Request!$D47=Worksheet!$A$54,Worksheet!B$54,IF(Request!$D47=Worksheet!$A$55,Worksheet!B$55))))))))))),0)+ROUND(N19/Worksheet!$C$5*Worksheet!$C$10*(IF(Request!$D47=Worksheet!$A$47,Worksheet!C$47,IF(Request!$D47=Worksheet!$A$48,Worksheet!C$48,IF(Request!$D47=Worksheet!$A$49,Worksheet!C$49,IF(Request!$D47=Worksheet!$A$50,Worksheet!C$50,IF(Request!$D47=Worksheet!$A$51,Worksheet!C$51,IF(Request!$D47=Worksheet!$A$52,Worksheet!C$52,IF(Request!$D47=Worksheet!$A$53,Worksheet!C$53,IF(Request!$D47=Worksheet!$A$54,Worksheet!C$54,IF(Request!$D47=Worksheet!$A$55,Worksheet!C$55)))))))))),0)))))))</f>
        <v>0</v>
      </c>
      <c r="O47" s="80">
        <f ca="1">IF(AND($D47="F-SMRA",O19=0),0,IF(AND($D47="F-SMRB",O19=0),0,IF(AND($D47="F-SMRC",O19=0),0,IF($D47=Worksheet!$A$68,Worksheet!D307,IF($D47=Worksheet!$A$69,Worksheet!D307,IF($D47=Worksheet!$A$70,Worksheet!D307,ROUND((Request!O19/Worksheet!$C$5*Worksheet!$C$9*(IF(Request!$D47=Worksheet!$A$47,Worksheet!D$47,IF(Request!$D47=Worksheet!$A$48,Worksheet!D$48,IF(Request!$D47=Worksheet!$A$49,Worksheet!D$49,IF(Request!$D47=Worksheet!$A$50,Worksheet!D$50,IF(Request!$D47=Worksheet!$A$51,Worksheet!D$51,IF(Request!$D47=Worksheet!$A$52,Worksheet!D$52,IF(Request!$D47=Worksheet!$A$53,Worksheet!D$53,IF(Request!$D47=Worksheet!$A$54,Worksheet!D$54,IF(Request!$D47=Worksheet!$A$55,Worksheet!D$55))))))))))),0)+ROUND(O19/Worksheet!$C$5*Worksheet!$C$10*(IF(Request!$D47=Worksheet!$A$47,Worksheet!E$47,IF(Request!$D47=Worksheet!$A$48,Worksheet!E$48,IF(Request!$D47=Worksheet!$A$49,Worksheet!E$49,IF(Request!$D47=Worksheet!$A$50,Worksheet!E$50,IF(Request!$D47=Worksheet!$A$51,Worksheet!E$51,IF(Request!$D47=Worksheet!$A$52,Worksheet!E$52,IF(Request!$D47=Worksheet!$A$53,Worksheet!E$53,IF(Request!$D47=Worksheet!$A$54,Worksheet!E$54,IF(Request!$D47=Worksheet!$A$55,Worksheet!E$55)))))))))),0)))))))</f>
        <v>0</v>
      </c>
      <c r="P47" s="80">
        <f ca="1">IF(AND($D47="F-SMRA",P19=0),0,IF(AND($D47="F-SMRB",P19=0),0,IF(AND($D47="F-SMRC",P19=0),0,IF($D47=Worksheet!$A$68,Worksheet!F307,IF($D47=Worksheet!$A$69,Worksheet!F307,IF($D47=Worksheet!$A$70,Worksheet!F307,ROUND((Request!P19/Worksheet!$C$5*Worksheet!$C$9*(IF(Request!$D47=Worksheet!$A$47,Worksheet!F$47,IF(Request!$D47=Worksheet!$A$48,Worksheet!F$48,IF(Request!$D47=Worksheet!$A$49,Worksheet!F$49,IF(Request!$D47=Worksheet!$A$50,Worksheet!F$50,IF(Request!$D47=Worksheet!$A$51,Worksheet!F$51,IF(Request!$D47=Worksheet!$A$52,Worksheet!F$52,IF(Request!$D47=Worksheet!$A$53,Worksheet!F$53,IF(Request!$D47=Worksheet!$A$54,Worksheet!F$54,IF(Request!$D47=Worksheet!$A$55,Worksheet!F$55))))))))))),0)+ROUND(P19/Worksheet!$C$5*Worksheet!$C$10*(IF(Request!$D47=Worksheet!$A$47,Worksheet!G$47,IF(Request!$D47=Worksheet!$A$48,Worksheet!G$48,IF(Request!$D47=Worksheet!$A$49,Worksheet!G$49,IF(Request!$D47=Worksheet!$A$50,Worksheet!G$50,IF(Request!$D47=Worksheet!$A$51,Worksheet!G$51,IF(Request!$D47=Worksheet!$A$52,Worksheet!G$52,IF(Request!$D47=Worksheet!$A$53,Worksheet!G$53,IF(Request!$D47=Worksheet!$A$54,Worksheet!G$54,IF(Request!$D47=Worksheet!$A$55,Worksheet!G$55)))))))))),0)))))))</f>
        <v>0</v>
      </c>
      <c r="Q47" s="80">
        <f ca="1">IF(AND($D47="F-SMRA",Q19=0),0,IF(AND($D47="F-SMRB",Q19=0),0,IF(AND($D47="F-SMRC",Q19=0),0,IF($D47=Worksheet!$A$68,Worksheet!H307,IF($D47=Worksheet!$A$69,Worksheet!H307,IF($D47=Worksheet!$A$70,Worksheet!H307,ROUND((Request!Q19/Worksheet!$C$5*Worksheet!$C$9*(IF(Request!$D47=Worksheet!$A$47,Worksheet!H$47,IF(Request!$D47=Worksheet!$A$48,Worksheet!H$48,IF(Request!$D47=Worksheet!$A$49,Worksheet!H$49,IF(Request!$D47=Worksheet!$A$50,Worksheet!H$50,IF(Request!$D47=Worksheet!$A$51,Worksheet!H$51,IF(Request!$D47=Worksheet!$A$52,Worksheet!H$52,IF(Request!$D47=Worksheet!$A$53,Worksheet!H$53,IF(Request!$D47=Worksheet!$A$54,Worksheet!H$54,IF(Request!$D47=Worksheet!$A$55,Worksheet!H$55))))))))))),0)+ROUND(Q19/Worksheet!$C$5*Worksheet!$C$10*(IF(Request!$D47=Worksheet!$A$47,Worksheet!I$47,IF(Request!$D47=Worksheet!$A$48,Worksheet!I$48,IF(Request!$D47=Worksheet!$A$49,Worksheet!I$49,IF(Request!$D47=Worksheet!$A$50,Worksheet!I$50,IF(Request!$D47=Worksheet!$A$51,Worksheet!I$51,IF(Request!$D47=Worksheet!$A$52,Worksheet!I$52,IF(Request!$D47=Worksheet!$A$53,Worksheet!I$53,IF(Request!$D47=Worksheet!$A$54,Worksheet!I$54,IF(Request!$D47=Worksheet!$A$55,Worksheet!I$55)))))))))),0)))))))</f>
        <v>0</v>
      </c>
      <c r="R47" s="80">
        <f ca="1">IF(AND($D47="F-SMRA",R19=0),0,IF(AND($D47="F-SMRB",R19=0),0,IF(AND($D47="F-SMRC",R19=0),0,IF($D47=Worksheet!$A$68,Worksheet!J307,IF($D47=Worksheet!$A$69,Worksheet!J307,IF($D47=Worksheet!$A$70,Worksheet!J307,ROUND((Request!R19/Worksheet!$C$5*Worksheet!$C$9*(IF(Request!$D47=Worksheet!$A$47,Worksheet!J$47,IF(Request!$D47=Worksheet!$A$48,Worksheet!J$48,IF(Request!$D47=Worksheet!$A$49,Worksheet!J$49,IF(Request!$D47=Worksheet!$A$50,Worksheet!J$50,IF(Request!$D47=Worksheet!$A$51,Worksheet!J$51,IF(Request!$D47=Worksheet!$A$52,Worksheet!J$52,IF(Request!$D47=Worksheet!$A$53,Worksheet!J$53,IF(Request!$D47=Worksheet!$A$54,Worksheet!J$54,IF(Request!$D47=Worksheet!$A$55,Worksheet!J$55))))))))))),0)+ROUND(R19/Worksheet!$C$5*Worksheet!$C$10*(IF(Request!$D47=Worksheet!$A$47,Worksheet!K$47,IF(Request!$D47=Worksheet!$A$48,Worksheet!K$48,IF(Request!$D47=Worksheet!$A$49,Worksheet!K$49,IF(Request!$D47=Worksheet!$A$50,Worksheet!K$50,IF(Request!$D47=Worksheet!$A$51,Worksheet!K$51,IF(Request!$D47=Worksheet!$A$52,Worksheet!K$52,IF(Request!$D47=Worksheet!$A$53,Worksheet!K$53,IF(Request!$D47=Worksheet!$A$54,Worksheet!K$54,IF(Request!$D47=Worksheet!$A$55,Worksheet!K$55)))))))))),0)))))))</f>
        <v>0</v>
      </c>
      <c r="S47" s="80">
        <f t="shared" ca="1" si="3"/>
        <v>0</v>
      </c>
      <c r="T47" s="65"/>
      <c r="U47" s="65"/>
      <c r="V47" s="65"/>
      <c r="W47" s="65"/>
      <c r="X47" s="65"/>
    </row>
    <row r="48" spans="1:24" hidden="1">
      <c r="A48" s="162">
        <v>14</v>
      </c>
      <c r="B48" s="257">
        <f t="shared" si="2"/>
        <v>0</v>
      </c>
      <c r="C48" s="233"/>
      <c r="D48" s="179" t="s">
        <v>54</v>
      </c>
      <c r="E48" s="202" t="str">
        <f>IF($D48=Worksheet!$A$59,Worksheet!B$59,IF($D48=Worksheet!$A$60,Worksheet!B$60,IF($D48=Worksheet!$A$61,Worksheet!B$61,IF($D48=Worksheet!$A$62,Worksheet!B$62,IF($D48=Worksheet!$A$63,Worksheet!B$63,IF($D48=Worksheet!$A$64,Worksheet!B$64,IF($D48=Worksheet!$A$65,Worksheet!B$65,IF($D48=Worksheet!$A$66,Worksheet!B$66,IF($D48=Worksheet!$A$67,Worksheet!B$67,IF($D48=Worksheet!$A$68,Worksheet!B282,IF($D48=Worksheet!$A$69,Worksheet!B282,IF($D48=Worksheet!$A$70,Worksheet!B282,IF($D48=Worksheet!$A$71,"")))))))))))))</f>
        <v/>
      </c>
      <c r="F48" s="263" t="str">
        <f>IF($D48=Worksheet!$A$59,Worksheet!C$59,IF($D48=Worksheet!$A$60,Worksheet!C$60,IF($D48=Worksheet!$A$61,Worksheet!C$61,IF($D48=Worksheet!$A$62,Worksheet!C$62,IF($D48=Worksheet!$A$63,Worksheet!C$63,IF($D48=Worksheet!$A$64,Worksheet!C$64,IF($D48=Worksheet!$A$65,Worksheet!C$65,IF($D48=Worksheet!$A$66,Worksheet!C$66,IF($D48=Worksheet!$A$67,Worksheet!C$67,IF($D48=Worksheet!$A$68,Worksheet!D282,IF($D48=Worksheet!$A$69,Worksheet!D282,IF($D48=Worksheet!$A$70,Worksheet!D282,IF($D48=Worksheet!$A$71,"")))))))))))))</f>
        <v/>
      </c>
      <c r="G48" s="264"/>
      <c r="H48" s="277" t="str">
        <f>IF($D48=Worksheet!$A$59,Worksheet!D$59,IF($D48=Worksheet!$A$60,Worksheet!D$60,IF($D48=Worksheet!$A$61,Worksheet!D$61,IF($D48=Worksheet!$A$62,Worksheet!D$62,IF($D48=Worksheet!$A$63,Worksheet!D$63,IF($D48=Worksheet!$A$64,Worksheet!D$64,IF($D48=Worksheet!$A$65,Worksheet!D$65,IF($D48=Worksheet!$A$66,Worksheet!D$66,IF($D48=Worksheet!$A$67,Worksheet!D$67,IF($D48=Worksheet!$A$68,Worksheet!F282,IF($D48=Worksheet!$A$69,Worksheet!F282,IF($D48=Worksheet!$A$70,Worksheet!F282,IF($D48=Worksheet!$A$71,"")))))))))))))</f>
        <v/>
      </c>
      <c r="I48" s="278"/>
      <c r="J48" s="277" t="str">
        <f>IF($D48=Worksheet!$A$59,Worksheet!E$59,IF($D48=Worksheet!$A$60,Worksheet!E$60,IF($D48=Worksheet!$A$61,Worksheet!E$61,IF($D48=Worksheet!$A$62,Worksheet!E$62,IF($D48=Worksheet!$A$63,Worksheet!E$63,IF($D48=Worksheet!$A$64,Worksheet!E$64,IF($D48=Worksheet!$A$65,Worksheet!E$65,IF($D48=Worksheet!$A$66,Worksheet!E$66,IF($D48=Worksheet!$A$67,Worksheet!E$67,IF($D48=Worksheet!$A$68,Worksheet!H282,IF($D48=Worksheet!$A$69,Worksheet!H282,IF($D48=Worksheet!$A$70,Worksheet!H282,IF($D48=Worksheet!$A$71,"")))))))))))))</f>
        <v/>
      </c>
      <c r="K48" s="278"/>
      <c r="L48" s="277" t="str">
        <f>IF($D48=Worksheet!$A$59,Worksheet!F$59,IF($D48=Worksheet!$A$60,Worksheet!F$60,IF($D48=Worksheet!$A$61,Worksheet!F$61,IF($D48=Worksheet!$A$62,Worksheet!F$62,IF($D48=Worksheet!$A$63,Worksheet!F$63,IF($D48=Worksheet!$A$64,Worksheet!F$64,IF($D48=Worksheet!$A$65,Worksheet!F$65,IF($D48=Worksheet!$A$66,Worksheet!F$66,IF($D48=Worksheet!$A$67,Worksheet!F$67,IF($D48=Worksheet!$A$68,Worksheet!J282,IF($D48=Worksheet!$A$69,Worksheet!J282,IF($D48=Worksheet!$A$70,Worksheet!J282,IF($D48=Worksheet!$A$71,"")))))))))))))</f>
        <v/>
      </c>
      <c r="M48" s="278"/>
      <c r="N48" s="80">
        <f ca="1">IF(AND(D48="F-SMRA",N20=0),0,IF(AND(D48="F-SMRB",N20=0),0,IF(AND(D48="F-SMRC",N20=0),0,IF($D48=Worksheet!$A$68,Worksheet!B308,IF($D48=Worksheet!$A$69,Worksheet!B308,IF($D48=Worksheet!$A$70,Worksheet!B308,ROUND((Request!N20/Worksheet!$C$5*Worksheet!$C$9*(IF(Request!$D48=Worksheet!$A$47,Worksheet!B$47,IF(Request!$D48=Worksheet!$A$48,Worksheet!B$48,IF(Request!$D48=Worksheet!$A$49,Worksheet!B$49,IF(Request!$D48=Worksheet!$A$50,Worksheet!B$50,IF(Request!$D48=Worksheet!$A$51,Worksheet!B$51,IF(Request!$D48=Worksheet!$A$52,Worksheet!B$52,IF(Request!$D48=Worksheet!$A$53,Worksheet!B$53,IF(Request!$D48=Worksheet!$A$54,Worksheet!B$54,IF(Request!$D48=Worksheet!$A$55,Worksheet!B$55))))))))))),0)+ROUND(N20/Worksheet!$C$5*Worksheet!$C$10*(IF(Request!$D48=Worksheet!$A$47,Worksheet!C$47,IF(Request!$D48=Worksheet!$A$48,Worksheet!C$48,IF(Request!$D48=Worksheet!$A$49,Worksheet!C$49,IF(Request!$D48=Worksheet!$A$50,Worksheet!C$50,IF(Request!$D48=Worksheet!$A$51,Worksheet!C$51,IF(Request!$D48=Worksheet!$A$52,Worksheet!C$52,IF(Request!$D48=Worksheet!$A$53,Worksheet!C$53,IF(Request!$D48=Worksheet!$A$54,Worksheet!C$54,IF(Request!$D48=Worksheet!$A$55,Worksheet!C$55)))))))))),0)))))))</f>
        <v>0</v>
      </c>
      <c r="O48" s="80">
        <f ca="1">IF(AND($D48="F-SMRA",O20=0),0,IF(AND($D48="F-SMRB",O20=0),0,IF(AND($D48="F-SMRC",O20=0),0,IF($D48=Worksheet!$A$68,Worksheet!D308,IF($D48=Worksheet!$A$69,Worksheet!D308,IF($D48=Worksheet!$A$70,Worksheet!D308,ROUND((Request!O20/Worksheet!$C$5*Worksheet!$C$9*(IF(Request!$D48=Worksheet!$A$47,Worksheet!D$47,IF(Request!$D48=Worksheet!$A$48,Worksheet!D$48,IF(Request!$D48=Worksheet!$A$49,Worksheet!D$49,IF(Request!$D48=Worksheet!$A$50,Worksheet!D$50,IF(Request!$D48=Worksheet!$A$51,Worksheet!D$51,IF(Request!$D48=Worksheet!$A$52,Worksheet!D$52,IF(Request!$D48=Worksheet!$A$53,Worksheet!D$53,IF(Request!$D48=Worksheet!$A$54,Worksheet!D$54,IF(Request!$D48=Worksheet!$A$55,Worksheet!D$55))))))))))),0)+ROUND(O20/Worksheet!$C$5*Worksheet!$C$10*(IF(Request!$D48=Worksheet!$A$47,Worksheet!E$47,IF(Request!$D48=Worksheet!$A$48,Worksheet!E$48,IF(Request!$D48=Worksheet!$A$49,Worksheet!E$49,IF(Request!$D48=Worksheet!$A$50,Worksheet!E$50,IF(Request!$D48=Worksheet!$A$51,Worksheet!E$51,IF(Request!$D48=Worksheet!$A$52,Worksheet!E$52,IF(Request!$D48=Worksheet!$A$53,Worksheet!E$53,IF(Request!$D48=Worksheet!$A$54,Worksheet!E$54,IF(Request!$D48=Worksheet!$A$55,Worksheet!E$55)))))))))),0)))))))</f>
        <v>0</v>
      </c>
      <c r="P48" s="80">
        <f ca="1">IF(AND($D48="F-SMRA",P20=0),0,IF(AND($D48="F-SMRB",P20=0),0,IF(AND($D48="F-SMRC",P20=0),0,IF($D48=Worksheet!$A$68,Worksheet!F308,IF($D48=Worksheet!$A$69,Worksheet!F308,IF($D48=Worksheet!$A$70,Worksheet!F308,ROUND((Request!P20/Worksheet!$C$5*Worksheet!$C$9*(IF(Request!$D48=Worksheet!$A$47,Worksheet!F$47,IF(Request!$D48=Worksheet!$A$48,Worksheet!F$48,IF(Request!$D48=Worksheet!$A$49,Worksheet!F$49,IF(Request!$D48=Worksheet!$A$50,Worksheet!F$50,IF(Request!$D48=Worksheet!$A$51,Worksheet!F$51,IF(Request!$D48=Worksheet!$A$52,Worksheet!F$52,IF(Request!$D48=Worksheet!$A$53,Worksheet!F$53,IF(Request!$D48=Worksheet!$A$54,Worksheet!F$54,IF(Request!$D48=Worksheet!$A$55,Worksheet!F$55))))))))))),0)+ROUND(P20/Worksheet!$C$5*Worksheet!$C$10*(IF(Request!$D48=Worksheet!$A$47,Worksheet!G$47,IF(Request!$D48=Worksheet!$A$48,Worksheet!G$48,IF(Request!$D48=Worksheet!$A$49,Worksheet!G$49,IF(Request!$D48=Worksheet!$A$50,Worksheet!G$50,IF(Request!$D48=Worksheet!$A$51,Worksheet!G$51,IF(Request!$D48=Worksheet!$A$52,Worksheet!G$52,IF(Request!$D48=Worksheet!$A$53,Worksheet!G$53,IF(Request!$D48=Worksheet!$A$54,Worksheet!G$54,IF(Request!$D48=Worksheet!$A$55,Worksheet!G$55)))))))))),0)))))))</f>
        <v>0</v>
      </c>
      <c r="Q48" s="80">
        <f ca="1">IF(AND($D48="F-SMRA",Q20=0),0,IF(AND($D48="F-SMRB",Q20=0),0,IF(AND($D48="F-SMRC",Q20=0),0,IF($D48=Worksheet!$A$68,Worksheet!H308,IF($D48=Worksheet!$A$69,Worksheet!H308,IF($D48=Worksheet!$A$70,Worksheet!H308,ROUND((Request!Q20/Worksheet!$C$5*Worksheet!$C$9*(IF(Request!$D48=Worksheet!$A$47,Worksheet!H$47,IF(Request!$D48=Worksheet!$A$48,Worksheet!H$48,IF(Request!$D48=Worksheet!$A$49,Worksheet!H$49,IF(Request!$D48=Worksheet!$A$50,Worksheet!H$50,IF(Request!$D48=Worksheet!$A$51,Worksheet!H$51,IF(Request!$D48=Worksheet!$A$52,Worksheet!H$52,IF(Request!$D48=Worksheet!$A$53,Worksheet!H$53,IF(Request!$D48=Worksheet!$A$54,Worksheet!H$54,IF(Request!$D48=Worksheet!$A$55,Worksheet!H$55))))))))))),0)+ROUND(Q20/Worksheet!$C$5*Worksheet!$C$10*(IF(Request!$D48=Worksheet!$A$47,Worksheet!I$47,IF(Request!$D48=Worksheet!$A$48,Worksheet!I$48,IF(Request!$D48=Worksheet!$A$49,Worksheet!I$49,IF(Request!$D48=Worksheet!$A$50,Worksheet!I$50,IF(Request!$D48=Worksheet!$A$51,Worksheet!I$51,IF(Request!$D48=Worksheet!$A$52,Worksheet!I$52,IF(Request!$D48=Worksheet!$A$53,Worksheet!I$53,IF(Request!$D48=Worksheet!$A$54,Worksheet!I$54,IF(Request!$D48=Worksheet!$A$55,Worksheet!I$55)))))))))),0)))))))</f>
        <v>0</v>
      </c>
      <c r="R48" s="80">
        <f ca="1">IF(AND($D48="F-SMRA",R20=0),0,IF(AND($D48="F-SMRB",R20=0),0,IF(AND($D48="F-SMRC",R20=0),0,IF($D48=Worksheet!$A$68,Worksheet!J308,IF($D48=Worksheet!$A$69,Worksheet!J308,IF($D48=Worksheet!$A$70,Worksheet!J308,ROUND((Request!R20/Worksheet!$C$5*Worksheet!$C$9*(IF(Request!$D48=Worksheet!$A$47,Worksheet!J$47,IF(Request!$D48=Worksheet!$A$48,Worksheet!J$48,IF(Request!$D48=Worksheet!$A$49,Worksheet!J$49,IF(Request!$D48=Worksheet!$A$50,Worksheet!J$50,IF(Request!$D48=Worksheet!$A$51,Worksheet!J$51,IF(Request!$D48=Worksheet!$A$52,Worksheet!J$52,IF(Request!$D48=Worksheet!$A$53,Worksheet!J$53,IF(Request!$D48=Worksheet!$A$54,Worksheet!J$54,IF(Request!$D48=Worksheet!$A$55,Worksheet!J$55))))))))))),0)+ROUND(R20/Worksheet!$C$5*Worksheet!$C$10*(IF(Request!$D48=Worksheet!$A$47,Worksheet!K$47,IF(Request!$D48=Worksheet!$A$48,Worksheet!K$48,IF(Request!$D48=Worksheet!$A$49,Worksheet!K$49,IF(Request!$D48=Worksheet!$A$50,Worksheet!K$50,IF(Request!$D48=Worksheet!$A$51,Worksheet!K$51,IF(Request!$D48=Worksheet!$A$52,Worksheet!K$52,IF(Request!$D48=Worksheet!$A$53,Worksheet!K$53,IF(Request!$D48=Worksheet!$A$54,Worksheet!K$54,IF(Request!$D48=Worksheet!$A$55,Worksheet!K$55)))))))))),0)))))))</f>
        <v>0</v>
      </c>
      <c r="S48" s="80">
        <f t="shared" ca="1" si="3"/>
        <v>0</v>
      </c>
      <c r="T48" s="65"/>
      <c r="U48" s="65"/>
      <c r="V48" s="65"/>
      <c r="W48" s="65"/>
      <c r="X48" s="65"/>
    </row>
    <row r="49" spans="1:24" hidden="1">
      <c r="A49" s="162">
        <v>15</v>
      </c>
      <c r="B49" s="257">
        <f t="shared" si="2"/>
        <v>0</v>
      </c>
      <c r="C49" s="233"/>
      <c r="D49" s="179" t="s">
        <v>54</v>
      </c>
      <c r="E49" s="202" t="str">
        <f>IF($D49=Worksheet!$A$59,Worksheet!B$59,IF($D49=Worksheet!$A$60,Worksheet!B$60,IF($D49=Worksheet!$A$61,Worksheet!B$61,IF($D49=Worksheet!$A$62,Worksheet!B$62,IF($D49=Worksheet!$A$63,Worksheet!B$63,IF($D49=Worksheet!$A$64,Worksheet!B$64,IF($D49=Worksheet!$A$65,Worksheet!B$65,IF($D49=Worksheet!$A$66,Worksheet!B$66,IF($D49=Worksheet!$A$67,Worksheet!B$67,IF($D49=Worksheet!$A$68,Worksheet!B283,IF($D49=Worksheet!$A$69,Worksheet!B283,IF($D49=Worksheet!$A$70,Worksheet!B283,IF($D49=Worksheet!$A$71,"")))))))))))))</f>
        <v/>
      </c>
      <c r="F49" s="263" t="str">
        <f>IF($D49=Worksheet!$A$59,Worksheet!C$59,IF($D49=Worksheet!$A$60,Worksheet!C$60,IF($D49=Worksheet!$A$61,Worksheet!C$61,IF($D49=Worksheet!$A$62,Worksheet!C$62,IF($D49=Worksheet!$A$63,Worksheet!C$63,IF($D49=Worksheet!$A$64,Worksheet!C$64,IF($D49=Worksheet!$A$65,Worksheet!C$65,IF($D49=Worksheet!$A$66,Worksheet!C$66,IF($D49=Worksheet!$A$67,Worksheet!C$67,IF($D49=Worksheet!$A$68,Worksheet!D283,IF($D49=Worksheet!$A$69,Worksheet!D283,IF($D49=Worksheet!$A$70,Worksheet!D283,IF($D49=Worksheet!$A$71,"")))))))))))))</f>
        <v/>
      </c>
      <c r="G49" s="264"/>
      <c r="H49" s="277" t="str">
        <f>IF($D49=Worksheet!$A$59,Worksheet!D$59,IF($D49=Worksheet!$A$60,Worksheet!D$60,IF($D49=Worksheet!$A$61,Worksheet!D$61,IF($D49=Worksheet!$A$62,Worksheet!D$62,IF($D49=Worksheet!$A$63,Worksheet!D$63,IF($D49=Worksheet!$A$64,Worksheet!D$64,IF($D49=Worksheet!$A$65,Worksheet!D$65,IF($D49=Worksheet!$A$66,Worksheet!D$66,IF($D49=Worksheet!$A$67,Worksheet!D$67,IF($D49=Worksheet!$A$68,Worksheet!F283,IF($D49=Worksheet!$A$69,Worksheet!F283,IF($D49=Worksheet!$A$70,Worksheet!F283,IF($D49=Worksheet!$A$71,"")))))))))))))</f>
        <v/>
      </c>
      <c r="I49" s="278"/>
      <c r="J49" s="277" t="str">
        <f>IF($D49=Worksheet!$A$59,Worksheet!E$59,IF($D49=Worksheet!$A$60,Worksheet!E$60,IF($D49=Worksheet!$A$61,Worksheet!E$61,IF($D49=Worksheet!$A$62,Worksheet!E$62,IF($D49=Worksheet!$A$63,Worksheet!E$63,IF($D49=Worksheet!$A$64,Worksheet!E$64,IF($D49=Worksheet!$A$65,Worksheet!E$65,IF($D49=Worksheet!$A$66,Worksheet!E$66,IF($D49=Worksheet!$A$67,Worksheet!E$67,IF($D49=Worksheet!$A$68,Worksheet!H283,IF($D49=Worksheet!$A$69,Worksheet!H283,IF($D49=Worksheet!$A$70,Worksheet!H283,IF($D49=Worksheet!$A$71,"")))))))))))))</f>
        <v/>
      </c>
      <c r="K49" s="278"/>
      <c r="L49" s="277" t="str">
        <f>IF($D49=Worksheet!$A$59,Worksheet!F$59,IF($D49=Worksheet!$A$60,Worksheet!F$60,IF($D49=Worksheet!$A$61,Worksheet!F$61,IF($D49=Worksheet!$A$62,Worksheet!F$62,IF($D49=Worksheet!$A$63,Worksheet!F$63,IF($D49=Worksheet!$A$64,Worksheet!F$64,IF($D49=Worksheet!$A$65,Worksheet!F$65,IF($D49=Worksheet!$A$66,Worksheet!F$66,IF($D49=Worksheet!$A$67,Worksheet!F$67,IF($D49=Worksheet!$A$68,Worksheet!J283,IF($D49=Worksheet!$A$69,Worksheet!J283,IF($D49=Worksheet!$A$70,Worksheet!J283,IF($D49=Worksheet!$A$71,"")))))))))))))</f>
        <v/>
      </c>
      <c r="M49" s="278"/>
      <c r="N49" s="80">
        <f ca="1">IF(AND(D49="F-SMRA",N21=0),0,IF(AND(D49="F-SMRB",N21=0),0,IF(AND(D49="F-SMRC",N21=0),0,IF($D49=Worksheet!$A$68,Worksheet!B309,IF($D49=Worksheet!$A$69,Worksheet!B309,IF($D49=Worksheet!$A$70,Worksheet!B309,ROUND((Request!N21/Worksheet!$C$5*Worksheet!$C$9*(IF(Request!$D49=Worksheet!$A$47,Worksheet!B$47,IF(Request!$D49=Worksheet!$A$48,Worksheet!B$48,IF(Request!$D49=Worksheet!$A$49,Worksheet!B$49,IF(Request!$D49=Worksheet!$A$50,Worksheet!B$50,IF(Request!$D49=Worksheet!$A$51,Worksheet!B$51,IF(Request!$D49=Worksheet!$A$52,Worksheet!B$52,IF(Request!$D49=Worksheet!$A$53,Worksheet!B$53,IF(Request!$D49=Worksheet!$A$54,Worksheet!B$54,IF(Request!$D49=Worksheet!$A$55,Worksheet!B$55))))))))))),0)+ROUND(N21/Worksheet!$C$5*Worksheet!$C$10*(IF(Request!$D49=Worksheet!$A$47,Worksheet!C$47,IF(Request!$D49=Worksheet!$A$48,Worksheet!C$48,IF(Request!$D49=Worksheet!$A$49,Worksheet!C$49,IF(Request!$D49=Worksheet!$A$50,Worksheet!C$50,IF(Request!$D49=Worksheet!$A$51,Worksheet!C$51,IF(Request!$D49=Worksheet!$A$52,Worksheet!C$52,IF(Request!$D49=Worksheet!$A$53,Worksheet!C$53,IF(Request!$D49=Worksheet!$A$54,Worksheet!C$54,IF(Request!$D49=Worksheet!$A$55,Worksheet!C$55)))))))))),0)))))))</f>
        <v>0</v>
      </c>
      <c r="O49" s="80">
        <f ca="1">IF(AND($D49="F-SMRA",O21=0),0,IF(AND($D49="F-SMRB",O21=0),0,IF(AND($D49="F-SMRC",O21=0),0,IF($D49=Worksheet!$A$68,Worksheet!D309,IF($D49=Worksheet!$A$69,Worksheet!D309,IF($D49=Worksheet!$A$70,Worksheet!D309,ROUND((Request!O21/Worksheet!$C$5*Worksheet!$C$9*(IF(Request!$D49=Worksheet!$A$47,Worksheet!D$47,IF(Request!$D49=Worksheet!$A$48,Worksheet!D$48,IF(Request!$D49=Worksheet!$A$49,Worksheet!D$49,IF(Request!$D49=Worksheet!$A$50,Worksheet!D$50,IF(Request!$D49=Worksheet!$A$51,Worksheet!D$51,IF(Request!$D49=Worksheet!$A$52,Worksheet!D$52,IF(Request!$D49=Worksheet!$A$53,Worksheet!D$53,IF(Request!$D49=Worksheet!$A$54,Worksheet!D$54,IF(Request!$D49=Worksheet!$A$55,Worksheet!D$55))))))))))),0)+ROUND(O21/Worksheet!$C$5*Worksheet!$C$10*(IF(Request!$D49=Worksheet!$A$47,Worksheet!E$47,IF(Request!$D49=Worksheet!$A$48,Worksheet!E$48,IF(Request!$D49=Worksheet!$A$49,Worksheet!E$49,IF(Request!$D49=Worksheet!$A$50,Worksheet!E$50,IF(Request!$D49=Worksheet!$A$51,Worksheet!E$51,IF(Request!$D49=Worksheet!$A$52,Worksheet!E$52,IF(Request!$D49=Worksheet!$A$53,Worksheet!E$53,IF(Request!$D49=Worksheet!$A$54,Worksheet!E$54,IF(Request!$D49=Worksheet!$A$55,Worksheet!E$55)))))))))),0)))))))</f>
        <v>0</v>
      </c>
      <c r="P49" s="80">
        <f ca="1">IF(AND($D49="F-SMRA",P21=0),0,IF(AND($D49="F-SMRB",P21=0),0,IF(AND($D49="F-SMRC",P21=0),0,IF($D49=Worksheet!$A$68,Worksheet!F309,IF($D49=Worksheet!$A$69,Worksheet!F309,IF($D49=Worksheet!$A$70,Worksheet!F309,ROUND((Request!P21/Worksheet!$C$5*Worksheet!$C$9*(IF(Request!$D49=Worksheet!$A$47,Worksheet!F$47,IF(Request!$D49=Worksheet!$A$48,Worksheet!F$48,IF(Request!$D49=Worksheet!$A$49,Worksheet!F$49,IF(Request!$D49=Worksheet!$A$50,Worksheet!F$50,IF(Request!$D49=Worksheet!$A$51,Worksheet!F$51,IF(Request!$D49=Worksheet!$A$52,Worksheet!F$52,IF(Request!$D49=Worksheet!$A$53,Worksheet!F$53,IF(Request!$D49=Worksheet!$A$54,Worksheet!F$54,IF(Request!$D49=Worksheet!$A$55,Worksheet!F$55))))))))))),0)+ROUND(P21/Worksheet!$C$5*Worksheet!$C$10*(IF(Request!$D49=Worksheet!$A$47,Worksheet!G$47,IF(Request!$D49=Worksheet!$A$48,Worksheet!G$48,IF(Request!$D49=Worksheet!$A$49,Worksheet!G$49,IF(Request!$D49=Worksheet!$A$50,Worksheet!G$50,IF(Request!$D49=Worksheet!$A$51,Worksheet!G$51,IF(Request!$D49=Worksheet!$A$52,Worksheet!G$52,IF(Request!$D49=Worksheet!$A$53,Worksheet!G$53,IF(Request!$D49=Worksheet!$A$54,Worksheet!G$54,IF(Request!$D49=Worksheet!$A$55,Worksheet!G$55)))))))))),0)))))))</f>
        <v>0</v>
      </c>
      <c r="Q49" s="80">
        <f ca="1">IF(AND($D49="F-SMRA",Q21=0),0,IF(AND($D49="F-SMRB",Q21=0),0,IF(AND($D49="F-SMRC",Q21=0),0,IF($D49=Worksheet!$A$68,Worksheet!H309,IF($D49=Worksheet!$A$69,Worksheet!H309,IF($D49=Worksheet!$A$70,Worksheet!H309,ROUND((Request!Q21/Worksheet!$C$5*Worksheet!$C$9*(IF(Request!$D49=Worksheet!$A$47,Worksheet!H$47,IF(Request!$D49=Worksheet!$A$48,Worksheet!H$48,IF(Request!$D49=Worksheet!$A$49,Worksheet!H$49,IF(Request!$D49=Worksheet!$A$50,Worksheet!H$50,IF(Request!$D49=Worksheet!$A$51,Worksheet!H$51,IF(Request!$D49=Worksheet!$A$52,Worksheet!H$52,IF(Request!$D49=Worksheet!$A$53,Worksheet!H$53,IF(Request!$D49=Worksheet!$A$54,Worksheet!H$54,IF(Request!$D49=Worksheet!$A$55,Worksheet!H$55))))))))))),0)+ROUND(Q21/Worksheet!$C$5*Worksheet!$C$10*(IF(Request!$D49=Worksheet!$A$47,Worksheet!I$47,IF(Request!$D49=Worksheet!$A$48,Worksheet!I$48,IF(Request!$D49=Worksheet!$A$49,Worksheet!I$49,IF(Request!$D49=Worksheet!$A$50,Worksheet!I$50,IF(Request!$D49=Worksheet!$A$51,Worksheet!I$51,IF(Request!$D49=Worksheet!$A$52,Worksheet!I$52,IF(Request!$D49=Worksheet!$A$53,Worksheet!I$53,IF(Request!$D49=Worksheet!$A$54,Worksheet!I$54,IF(Request!$D49=Worksheet!$A$55,Worksheet!I$55)))))))))),0)))))))</f>
        <v>0</v>
      </c>
      <c r="R49" s="80">
        <f ca="1">IF(AND($D49="F-SMRA",R21=0),0,IF(AND($D49="F-SMRB",R21=0),0,IF(AND($D49="F-SMRC",R21=0),0,IF($D49=Worksheet!$A$68,Worksheet!J309,IF($D49=Worksheet!$A$69,Worksheet!J309,IF($D49=Worksheet!$A$70,Worksheet!J309,ROUND((Request!R21/Worksheet!$C$5*Worksheet!$C$9*(IF(Request!$D49=Worksheet!$A$47,Worksheet!J$47,IF(Request!$D49=Worksheet!$A$48,Worksheet!J$48,IF(Request!$D49=Worksheet!$A$49,Worksheet!J$49,IF(Request!$D49=Worksheet!$A$50,Worksheet!J$50,IF(Request!$D49=Worksheet!$A$51,Worksheet!J$51,IF(Request!$D49=Worksheet!$A$52,Worksheet!J$52,IF(Request!$D49=Worksheet!$A$53,Worksheet!J$53,IF(Request!$D49=Worksheet!$A$54,Worksheet!J$54,IF(Request!$D49=Worksheet!$A$55,Worksheet!J$55))))))))))),0)+ROUND(R21/Worksheet!$C$5*Worksheet!$C$10*(IF(Request!$D49=Worksheet!$A$47,Worksheet!K$47,IF(Request!$D49=Worksheet!$A$48,Worksheet!K$48,IF(Request!$D49=Worksheet!$A$49,Worksheet!K$49,IF(Request!$D49=Worksheet!$A$50,Worksheet!K$50,IF(Request!$D49=Worksheet!$A$51,Worksheet!K$51,IF(Request!$D49=Worksheet!$A$52,Worksheet!K$52,IF(Request!$D49=Worksheet!$A$53,Worksheet!K$53,IF(Request!$D49=Worksheet!$A$54,Worksheet!K$54,IF(Request!$D49=Worksheet!$A$55,Worksheet!K$55)))))))))),0)))))))</f>
        <v>0</v>
      </c>
      <c r="S49" s="80">
        <f t="shared" ca="1" si="3"/>
        <v>0</v>
      </c>
      <c r="T49" s="65"/>
      <c r="U49" s="65"/>
      <c r="V49" s="65"/>
      <c r="W49" s="65"/>
      <c r="X49" s="65"/>
    </row>
    <row r="50" spans="1:24" hidden="1">
      <c r="A50" s="162">
        <v>16</v>
      </c>
      <c r="B50" s="257">
        <f t="shared" si="2"/>
        <v>0</v>
      </c>
      <c r="C50" s="233"/>
      <c r="D50" s="179" t="s">
        <v>54</v>
      </c>
      <c r="E50" s="202" t="str">
        <f>IF($D50=Worksheet!$A$59,Worksheet!B$59,IF($D50=Worksheet!$A$60,Worksheet!B$60,IF($D50=Worksheet!$A$61,Worksheet!B$61,IF($D50=Worksheet!$A$62,Worksheet!B$62,IF($D50=Worksheet!$A$63,Worksheet!B$63,IF($D50=Worksheet!$A$64,Worksheet!B$64,IF($D50=Worksheet!$A$65,Worksheet!B$65,IF($D50=Worksheet!$A$66,Worksheet!B$66,IF($D50=Worksheet!$A$67,Worksheet!B$67,IF($D50=Worksheet!$A$68,Worksheet!B284,IF($D50=Worksheet!$A$69,Worksheet!B284,IF($D50=Worksheet!$A$70,Worksheet!B284,IF($D50=Worksheet!$A$71,"")))))))))))))</f>
        <v/>
      </c>
      <c r="F50" s="263" t="str">
        <f>IF($D50=Worksheet!$A$59,Worksheet!C$59,IF($D50=Worksheet!$A$60,Worksheet!C$60,IF($D50=Worksheet!$A$61,Worksheet!C$61,IF($D50=Worksheet!$A$62,Worksheet!C$62,IF($D50=Worksheet!$A$63,Worksheet!C$63,IF($D50=Worksheet!$A$64,Worksheet!C$64,IF($D50=Worksheet!$A$65,Worksheet!C$65,IF($D50=Worksheet!$A$66,Worksheet!C$66,IF($D50=Worksheet!$A$67,Worksheet!C$67,IF($D50=Worksheet!$A$68,Worksheet!D284,IF($D50=Worksheet!$A$69,Worksheet!D284,IF($D50=Worksheet!$A$70,Worksheet!D284,IF($D50=Worksheet!$A$71,"")))))))))))))</f>
        <v/>
      </c>
      <c r="G50" s="264"/>
      <c r="H50" s="277" t="str">
        <f>IF($D50=Worksheet!$A$59,Worksheet!D$59,IF($D50=Worksheet!$A$60,Worksheet!D$60,IF($D50=Worksheet!$A$61,Worksheet!D$61,IF($D50=Worksheet!$A$62,Worksheet!D$62,IF($D50=Worksheet!$A$63,Worksheet!D$63,IF($D50=Worksheet!$A$64,Worksheet!D$64,IF($D50=Worksheet!$A$65,Worksheet!D$65,IF($D50=Worksheet!$A$66,Worksheet!D$66,IF($D50=Worksheet!$A$67,Worksheet!D$67,IF($D50=Worksheet!$A$68,Worksheet!F284,IF($D50=Worksheet!$A$69,Worksheet!F284,IF($D50=Worksheet!$A$70,Worksheet!F284,IF($D50=Worksheet!$A$71,"")))))))))))))</f>
        <v/>
      </c>
      <c r="I50" s="278"/>
      <c r="J50" s="277" t="str">
        <f>IF($D50=Worksheet!$A$59,Worksheet!E$59,IF($D50=Worksheet!$A$60,Worksheet!E$60,IF($D50=Worksheet!$A$61,Worksheet!E$61,IF($D50=Worksheet!$A$62,Worksheet!E$62,IF($D50=Worksheet!$A$63,Worksheet!E$63,IF($D50=Worksheet!$A$64,Worksheet!E$64,IF($D50=Worksheet!$A$65,Worksheet!E$65,IF($D50=Worksheet!$A$66,Worksheet!E$66,IF($D50=Worksheet!$A$67,Worksheet!E$67,IF($D50=Worksheet!$A$68,Worksheet!H284,IF($D50=Worksheet!$A$69,Worksheet!H284,IF($D50=Worksheet!$A$70,Worksheet!H284,IF($D50=Worksheet!$A$71,"")))))))))))))</f>
        <v/>
      </c>
      <c r="K50" s="278"/>
      <c r="L50" s="277" t="str">
        <f>IF($D50=Worksheet!$A$59,Worksheet!F$59,IF($D50=Worksheet!$A$60,Worksheet!F$60,IF($D50=Worksheet!$A$61,Worksheet!F$61,IF($D50=Worksheet!$A$62,Worksheet!F$62,IF($D50=Worksheet!$A$63,Worksheet!F$63,IF($D50=Worksheet!$A$64,Worksheet!F$64,IF($D50=Worksheet!$A$65,Worksheet!F$65,IF($D50=Worksheet!$A$66,Worksheet!F$66,IF($D50=Worksheet!$A$67,Worksheet!F$67,IF($D50=Worksheet!$A$68,Worksheet!J284,IF($D50=Worksheet!$A$69,Worksheet!J284,IF($D50=Worksheet!$A$70,Worksheet!J284,IF($D50=Worksheet!$A$71,"")))))))))))))</f>
        <v/>
      </c>
      <c r="M50" s="278"/>
      <c r="N50" s="80">
        <f ca="1">IF(AND(D50="F-SMRA",N22=0),0,IF(AND(D50="F-SMRB",N22=0),0,IF(AND(D50="F-SMRC",N22=0),0,IF($D50=Worksheet!$A$68,Worksheet!B310,IF($D50=Worksheet!$A$69,Worksheet!B310,IF($D50=Worksheet!$A$70,Worksheet!B310,ROUND((Request!N22/Worksheet!$C$5*Worksheet!$C$9*(IF(Request!$D50=Worksheet!$A$47,Worksheet!B$47,IF(Request!$D50=Worksheet!$A$48,Worksheet!B$48,IF(Request!$D50=Worksheet!$A$49,Worksheet!B$49,IF(Request!$D50=Worksheet!$A$50,Worksheet!B$50,IF(Request!$D50=Worksheet!$A$51,Worksheet!B$51,IF(Request!$D50=Worksheet!$A$52,Worksheet!B$52,IF(Request!$D50=Worksheet!$A$53,Worksheet!B$53,IF(Request!$D50=Worksheet!$A$54,Worksheet!B$54,IF(Request!$D50=Worksheet!$A$55,Worksheet!B$55))))))))))),0)+ROUND(N22/Worksheet!$C$5*Worksheet!$C$10*(IF(Request!$D50=Worksheet!$A$47,Worksheet!C$47,IF(Request!$D50=Worksheet!$A$48,Worksheet!C$48,IF(Request!$D50=Worksheet!$A$49,Worksheet!C$49,IF(Request!$D50=Worksheet!$A$50,Worksheet!C$50,IF(Request!$D50=Worksheet!$A$51,Worksheet!C$51,IF(Request!$D50=Worksheet!$A$52,Worksheet!C$52,IF(Request!$D50=Worksheet!$A$53,Worksheet!C$53,IF(Request!$D50=Worksheet!$A$54,Worksheet!C$54,IF(Request!$D50=Worksheet!$A$55,Worksheet!C$55)))))))))),0)))))))</f>
        <v>0</v>
      </c>
      <c r="O50" s="80">
        <f ca="1">IF(AND($D50="F-SMRA",O22=0),0,IF(AND($D50="F-SMRB",O22=0),0,IF(AND($D50="F-SMRC",O22=0),0,IF($D50=Worksheet!$A$68,Worksheet!D310,IF($D50=Worksheet!$A$69,Worksheet!D310,IF($D50=Worksheet!$A$70,Worksheet!D310,ROUND((Request!O22/Worksheet!$C$5*Worksheet!$C$9*(IF(Request!$D50=Worksheet!$A$47,Worksheet!D$47,IF(Request!$D50=Worksheet!$A$48,Worksheet!D$48,IF(Request!$D50=Worksheet!$A$49,Worksheet!D$49,IF(Request!$D50=Worksheet!$A$50,Worksheet!D$50,IF(Request!$D50=Worksheet!$A$51,Worksheet!D$51,IF(Request!$D50=Worksheet!$A$52,Worksheet!D$52,IF(Request!$D50=Worksheet!$A$53,Worksheet!D$53,IF(Request!$D50=Worksheet!$A$54,Worksheet!D$54,IF(Request!$D50=Worksheet!$A$55,Worksheet!D$55))))))))))),0)+ROUND(O22/Worksheet!$C$5*Worksheet!$C$10*(IF(Request!$D50=Worksheet!$A$47,Worksheet!E$47,IF(Request!$D50=Worksheet!$A$48,Worksheet!E$48,IF(Request!$D50=Worksheet!$A$49,Worksheet!E$49,IF(Request!$D50=Worksheet!$A$50,Worksheet!E$50,IF(Request!$D50=Worksheet!$A$51,Worksheet!E$51,IF(Request!$D50=Worksheet!$A$52,Worksheet!E$52,IF(Request!$D50=Worksheet!$A$53,Worksheet!E$53,IF(Request!$D50=Worksheet!$A$54,Worksheet!E$54,IF(Request!$D50=Worksheet!$A$55,Worksheet!E$55)))))))))),0)))))))</f>
        <v>0</v>
      </c>
      <c r="P50" s="80">
        <f ca="1">IF(AND($D50="F-SMRA",P22=0),0,IF(AND($D50="F-SMRB",P22=0),0,IF(AND($D50="F-SMRC",P22=0),0,IF($D50=Worksheet!$A$68,Worksheet!F310,IF($D50=Worksheet!$A$69,Worksheet!F310,IF($D50=Worksheet!$A$70,Worksheet!F310,ROUND((Request!P22/Worksheet!$C$5*Worksheet!$C$9*(IF(Request!$D50=Worksheet!$A$47,Worksheet!F$47,IF(Request!$D50=Worksheet!$A$48,Worksheet!F$48,IF(Request!$D50=Worksheet!$A$49,Worksheet!F$49,IF(Request!$D50=Worksheet!$A$50,Worksheet!F$50,IF(Request!$D50=Worksheet!$A$51,Worksheet!F$51,IF(Request!$D50=Worksheet!$A$52,Worksheet!F$52,IF(Request!$D50=Worksheet!$A$53,Worksheet!F$53,IF(Request!$D50=Worksheet!$A$54,Worksheet!F$54,IF(Request!$D50=Worksheet!$A$55,Worksheet!F$55))))))))))),0)+ROUND(P22/Worksheet!$C$5*Worksheet!$C$10*(IF(Request!$D50=Worksheet!$A$47,Worksheet!G$47,IF(Request!$D50=Worksheet!$A$48,Worksheet!G$48,IF(Request!$D50=Worksheet!$A$49,Worksheet!G$49,IF(Request!$D50=Worksheet!$A$50,Worksheet!G$50,IF(Request!$D50=Worksheet!$A$51,Worksheet!G$51,IF(Request!$D50=Worksheet!$A$52,Worksheet!G$52,IF(Request!$D50=Worksheet!$A$53,Worksheet!G$53,IF(Request!$D50=Worksheet!$A$54,Worksheet!G$54,IF(Request!$D50=Worksheet!$A$55,Worksheet!G$55)))))))))),0)))))))</f>
        <v>0</v>
      </c>
      <c r="Q50" s="80">
        <f ca="1">IF(AND($D50="F-SMRA",Q22=0),0,IF(AND($D50="F-SMRB",Q22=0),0,IF(AND($D50="F-SMRC",Q22=0),0,IF($D50=Worksheet!$A$68,Worksheet!H310,IF($D50=Worksheet!$A$69,Worksheet!H310,IF($D50=Worksheet!$A$70,Worksheet!H310,ROUND((Request!Q22/Worksheet!$C$5*Worksheet!$C$9*(IF(Request!$D50=Worksheet!$A$47,Worksheet!H$47,IF(Request!$D50=Worksheet!$A$48,Worksheet!H$48,IF(Request!$D50=Worksheet!$A$49,Worksheet!H$49,IF(Request!$D50=Worksheet!$A$50,Worksheet!H$50,IF(Request!$D50=Worksheet!$A$51,Worksheet!H$51,IF(Request!$D50=Worksheet!$A$52,Worksheet!H$52,IF(Request!$D50=Worksheet!$A$53,Worksheet!H$53,IF(Request!$D50=Worksheet!$A$54,Worksheet!H$54,IF(Request!$D50=Worksheet!$A$55,Worksheet!H$55))))))))))),0)+ROUND(Q22/Worksheet!$C$5*Worksheet!$C$10*(IF(Request!$D50=Worksheet!$A$47,Worksheet!I$47,IF(Request!$D50=Worksheet!$A$48,Worksheet!I$48,IF(Request!$D50=Worksheet!$A$49,Worksheet!I$49,IF(Request!$D50=Worksheet!$A$50,Worksheet!I$50,IF(Request!$D50=Worksheet!$A$51,Worksheet!I$51,IF(Request!$D50=Worksheet!$A$52,Worksheet!I$52,IF(Request!$D50=Worksheet!$A$53,Worksheet!I$53,IF(Request!$D50=Worksheet!$A$54,Worksheet!I$54,IF(Request!$D50=Worksheet!$A$55,Worksheet!I$55)))))))))),0)))))))</f>
        <v>0</v>
      </c>
      <c r="R50" s="80">
        <f ca="1">IF(AND($D50="F-SMRA",R22=0),0,IF(AND($D50="F-SMRB",R22=0),0,IF(AND($D50="F-SMRC",R22=0),0,IF($D50=Worksheet!$A$68,Worksheet!J310,IF($D50=Worksheet!$A$69,Worksheet!J310,IF($D50=Worksheet!$A$70,Worksheet!J310,ROUND((Request!R22/Worksheet!$C$5*Worksheet!$C$9*(IF(Request!$D50=Worksheet!$A$47,Worksheet!J$47,IF(Request!$D50=Worksheet!$A$48,Worksheet!J$48,IF(Request!$D50=Worksheet!$A$49,Worksheet!J$49,IF(Request!$D50=Worksheet!$A$50,Worksheet!J$50,IF(Request!$D50=Worksheet!$A$51,Worksheet!J$51,IF(Request!$D50=Worksheet!$A$52,Worksheet!J$52,IF(Request!$D50=Worksheet!$A$53,Worksheet!J$53,IF(Request!$D50=Worksheet!$A$54,Worksheet!J$54,IF(Request!$D50=Worksheet!$A$55,Worksheet!J$55))))))))))),0)+ROUND(R22/Worksheet!$C$5*Worksheet!$C$10*(IF(Request!$D50=Worksheet!$A$47,Worksheet!K$47,IF(Request!$D50=Worksheet!$A$48,Worksheet!K$48,IF(Request!$D50=Worksheet!$A$49,Worksheet!K$49,IF(Request!$D50=Worksheet!$A$50,Worksheet!K$50,IF(Request!$D50=Worksheet!$A$51,Worksheet!K$51,IF(Request!$D50=Worksheet!$A$52,Worksheet!K$52,IF(Request!$D50=Worksheet!$A$53,Worksheet!K$53,IF(Request!$D50=Worksheet!$A$54,Worksheet!K$54,IF(Request!$D50=Worksheet!$A$55,Worksheet!K$55)))))))))),0)))))))</f>
        <v>0</v>
      </c>
      <c r="S50" s="80">
        <f t="shared" ca="1" si="3"/>
        <v>0</v>
      </c>
      <c r="T50" s="65"/>
      <c r="U50" s="65"/>
      <c r="V50" s="65"/>
      <c r="W50" s="65"/>
      <c r="X50" s="65"/>
    </row>
    <row r="51" spans="1:24" hidden="1">
      <c r="A51" s="162">
        <v>17</v>
      </c>
      <c r="B51" s="257">
        <f t="shared" si="2"/>
        <v>0</v>
      </c>
      <c r="C51" s="233"/>
      <c r="D51" s="179" t="s">
        <v>54</v>
      </c>
      <c r="E51" s="202" t="str">
        <f>IF($D51=Worksheet!$A$59,Worksheet!B$59,IF($D51=Worksheet!$A$60,Worksheet!B$60,IF($D51=Worksheet!$A$61,Worksheet!B$61,IF($D51=Worksheet!$A$62,Worksheet!B$62,IF($D51=Worksheet!$A$63,Worksheet!B$63,IF($D51=Worksheet!$A$64,Worksheet!B$64,IF($D51=Worksheet!$A$65,Worksheet!B$65,IF($D51=Worksheet!$A$66,Worksheet!B$66,IF($D51=Worksheet!$A$67,Worksheet!B$67,IF($D51=Worksheet!$A$68,Worksheet!B285,IF($D51=Worksheet!$A$69,Worksheet!B285,IF($D51=Worksheet!$A$70,Worksheet!B285,IF($D51=Worksheet!$A$71,"")))))))))))))</f>
        <v/>
      </c>
      <c r="F51" s="263" t="str">
        <f>IF($D51=Worksheet!$A$59,Worksheet!C$59,IF($D51=Worksheet!$A$60,Worksheet!C$60,IF($D51=Worksheet!$A$61,Worksheet!C$61,IF($D51=Worksheet!$A$62,Worksheet!C$62,IF($D51=Worksheet!$A$63,Worksheet!C$63,IF($D51=Worksheet!$A$64,Worksheet!C$64,IF($D51=Worksheet!$A$65,Worksheet!C$65,IF($D51=Worksheet!$A$66,Worksheet!C$66,IF($D51=Worksheet!$A$67,Worksheet!C$67,IF($D51=Worksheet!$A$68,Worksheet!D285,IF($D51=Worksheet!$A$69,Worksheet!D285,IF($D51=Worksheet!$A$70,Worksheet!D285,IF($D51=Worksheet!$A$71,"")))))))))))))</f>
        <v/>
      </c>
      <c r="G51" s="264"/>
      <c r="H51" s="277" t="str">
        <f>IF($D51=Worksheet!$A$59,Worksheet!D$59,IF($D51=Worksheet!$A$60,Worksheet!D$60,IF($D51=Worksheet!$A$61,Worksheet!D$61,IF($D51=Worksheet!$A$62,Worksheet!D$62,IF($D51=Worksheet!$A$63,Worksheet!D$63,IF($D51=Worksheet!$A$64,Worksheet!D$64,IF($D51=Worksheet!$A$65,Worksheet!D$65,IF($D51=Worksheet!$A$66,Worksheet!D$66,IF($D51=Worksheet!$A$67,Worksheet!D$67,IF($D51=Worksheet!$A$68,Worksheet!F285,IF($D51=Worksheet!$A$69,Worksheet!F285,IF($D51=Worksheet!$A$70,Worksheet!F285,IF($D51=Worksheet!$A$71,"")))))))))))))</f>
        <v/>
      </c>
      <c r="I51" s="278"/>
      <c r="J51" s="277" t="str">
        <f>IF($D51=Worksheet!$A$59,Worksheet!E$59,IF($D51=Worksheet!$A$60,Worksheet!E$60,IF($D51=Worksheet!$A$61,Worksheet!E$61,IF($D51=Worksheet!$A$62,Worksheet!E$62,IF($D51=Worksheet!$A$63,Worksheet!E$63,IF($D51=Worksheet!$A$64,Worksheet!E$64,IF($D51=Worksheet!$A$65,Worksheet!E$65,IF($D51=Worksheet!$A$66,Worksheet!E$66,IF($D51=Worksheet!$A$67,Worksheet!E$67,IF($D51=Worksheet!$A$68,Worksheet!H285,IF($D51=Worksheet!$A$69,Worksheet!H285,IF($D51=Worksheet!$A$70,Worksheet!H285,IF($D51=Worksheet!$A$71,"")))))))))))))</f>
        <v/>
      </c>
      <c r="K51" s="278"/>
      <c r="L51" s="277" t="str">
        <f>IF($D51=Worksheet!$A$59,Worksheet!F$59,IF($D51=Worksheet!$A$60,Worksheet!F$60,IF($D51=Worksheet!$A$61,Worksheet!F$61,IF($D51=Worksheet!$A$62,Worksheet!F$62,IF($D51=Worksheet!$A$63,Worksheet!F$63,IF($D51=Worksheet!$A$64,Worksheet!F$64,IF($D51=Worksheet!$A$65,Worksheet!F$65,IF($D51=Worksheet!$A$66,Worksheet!F$66,IF($D51=Worksheet!$A$67,Worksheet!F$67,IF($D51=Worksheet!$A$68,Worksheet!J285,IF($D51=Worksheet!$A$69,Worksheet!J285,IF($D51=Worksheet!$A$70,Worksheet!J285,IF($D51=Worksheet!$A$71,"")))))))))))))</f>
        <v/>
      </c>
      <c r="M51" s="278"/>
      <c r="N51" s="80">
        <f ca="1">IF(AND(D51="F-SMRA",N23=0),0,IF(AND(D51="F-SMRB",N23=0),0,IF(AND(D51="F-SMRC",N23=0),0,IF($D51=Worksheet!$A$68,Worksheet!B311,IF($D51=Worksheet!$A$69,Worksheet!B311,IF($D51=Worksheet!$A$70,Worksheet!B311,ROUND((Request!N23/Worksheet!$C$5*Worksheet!$C$9*(IF(Request!$D51=Worksheet!$A$47,Worksheet!B$47,IF(Request!$D51=Worksheet!$A$48,Worksheet!B$48,IF(Request!$D51=Worksheet!$A$49,Worksheet!B$49,IF(Request!$D51=Worksheet!$A$50,Worksheet!B$50,IF(Request!$D51=Worksheet!$A$51,Worksheet!B$51,IF(Request!$D51=Worksheet!$A$52,Worksheet!B$52,IF(Request!$D51=Worksheet!$A$53,Worksheet!B$53,IF(Request!$D51=Worksheet!$A$54,Worksheet!B$54,IF(Request!$D51=Worksheet!$A$55,Worksheet!B$55))))))))))),0)+ROUND(N23/Worksheet!$C$5*Worksheet!$C$10*(IF(Request!$D51=Worksheet!$A$47,Worksheet!C$47,IF(Request!$D51=Worksheet!$A$48,Worksheet!C$48,IF(Request!$D51=Worksheet!$A$49,Worksheet!C$49,IF(Request!$D51=Worksheet!$A$50,Worksheet!C$50,IF(Request!$D51=Worksheet!$A$51,Worksheet!C$51,IF(Request!$D51=Worksheet!$A$52,Worksheet!C$52,IF(Request!$D51=Worksheet!$A$53,Worksheet!C$53,IF(Request!$D51=Worksheet!$A$54,Worksheet!C$54,IF(Request!$D51=Worksheet!$A$55,Worksheet!C$55)))))))))),0)))))))</f>
        <v>0</v>
      </c>
      <c r="O51" s="80">
        <f ca="1">IF(AND($D51="F-SMRA",O23=0),0,IF(AND($D51="F-SMRB",O23=0),0,IF(AND($D51="F-SMRC",O23=0),0,IF($D51=Worksheet!$A$68,Worksheet!D311,IF($D51=Worksheet!$A$69,Worksheet!D311,IF($D51=Worksheet!$A$70,Worksheet!D311,ROUND((Request!O23/Worksheet!$C$5*Worksheet!$C$9*(IF(Request!$D51=Worksheet!$A$47,Worksheet!D$47,IF(Request!$D51=Worksheet!$A$48,Worksheet!D$48,IF(Request!$D51=Worksheet!$A$49,Worksheet!D$49,IF(Request!$D51=Worksheet!$A$50,Worksheet!D$50,IF(Request!$D51=Worksheet!$A$51,Worksheet!D$51,IF(Request!$D51=Worksheet!$A$52,Worksheet!D$52,IF(Request!$D51=Worksheet!$A$53,Worksheet!D$53,IF(Request!$D51=Worksheet!$A$54,Worksheet!D$54,IF(Request!$D51=Worksheet!$A$55,Worksheet!D$55))))))))))),0)+ROUND(O23/Worksheet!$C$5*Worksheet!$C$10*(IF(Request!$D51=Worksheet!$A$47,Worksheet!E$47,IF(Request!$D51=Worksheet!$A$48,Worksheet!E$48,IF(Request!$D51=Worksheet!$A$49,Worksheet!E$49,IF(Request!$D51=Worksheet!$A$50,Worksheet!E$50,IF(Request!$D51=Worksheet!$A$51,Worksheet!E$51,IF(Request!$D51=Worksheet!$A$52,Worksheet!E$52,IF(Request!$D51=Worksheet!$A$53,Worksheet!E$53,IF(Request!$D51=Worksheet!$A$54,Worksheet!E$54,IF(Request!$D51=Worksheet!$A$55,Worksheet!E$55)))))))))),0)))))))</f>
        <v>0</v>
      </c>
      <c r="P51" s="80">
        <f ca="1">IF(AND($D51="F-SMRA",P23=0),0,IF(AND($D51="F-SMRB",P23=0),0,IF(AND($D51="F-SMRC",P23=0),0,IF($D51=Worksheet!$A$68,Worksheet!F311,IF($D51=Worksheet!$A$69,Worksheet!F311,IF($D51=Worksheet!$A$70,Worksheet!F311,ROUND((Request!P23/Worksheet!$C$5*Worksheet!$C$9*(IF(Request!$D51=Worksheet!$A$47,Worksheet!F$47,IF(Request!$D51=Worksheet!$A$48,Worksheet!F$48,IF(Request!$D51=Worksheet!$A$49,Worksheet!F$49,IF(Request!$D51=Worksheet!$A$50,Worksheet!F$50,IF(Request!$D51=Worksheet!$A$51,Worksheet!F$51,IF(Request!$D51=Worksheet!$A$52,Worksheet!F$52,IF(Request!$D51=Worksheet!$A$53,Worksheet!F$53,IF(Request!$D51=Worksheet!$A$54,Worksheet!F$54,IF(Request!$D51=Worksheet!$A$55,Worksheet!F$55))))))))))),0)+ROUND(P23/Worksheet!$C$5*Worksheet!$C$10*(IF(Request!$D51=Worksheet!$A$47,Worksheet!G$47,IF(Request!$D51=Worksheet!$A$48,Worksheet!G$48,IF(Request!$D51=Worksheet!$A$49,Worksheet!G$49,IF(Request!$D51=Worksheet!$A$50,Worksheet!G$50,IF(Request!$D51=Worksheet!$A$51,Worksheet!G$51,IF(Request!$D51=Worksheet!$A$52,Worksheet!G$52,IF(Request!$D51=Worksheet!$A$53,Worksheet!G$53,IF(Request!$D51=Worksheet!$A$54,Worksheet!G$54,IF(Request!$D51=Worksheet!$A$55,Worksheet!G$55)))))))))),0)))))))</f>
        <v>0</v>
      </c>
      <c r="Q51" s="80">
        <f ca="1">IF(AND($D51="F-SMRA",Q23=0),0,IF(AND($D51="F-SMRB",Q23=0),0,IF(AND($D51="F-SMRC",Q23=0),0,IF($D51=Worksheet!$A$68,Worksheet!H311,IF($D51=Worksheet!$A$69,Worksheet!H311,IF($D51=Worksheet!$A$70,Worksheet!H311,ROUND((Request!Q23/Worksheet!$C$5*Worksheet!$C$9*(IF(Request!$D51=Worksheet!$A$47,Worksheet!H$47,IF(Request!$D51=Worksheet!$A$48,Worksheet!H$48,IF(Request!$D51=Worksheet!$A$49,Worksheet!H$49,IF(Request!$D51=Worksheet!$A$50,Worksheet!H$50,IF(Request!$D51=Worksheet!$A$51,Worksheet!H$51,IF(Request!$D51=Worksheet!$A$52,Worksheet!H$52,IF(Request!$D51=Worksheet!$A$53,Worksheet!H$53,IF(Request!$D51=Worksheet!$A$54,Worksheet!H$54,IF(Request!$D51=Worksheet!$A$55,Worksheet!H$55))))))))))),0)+ROUND(Q23/Worksheet!$C$5*Worksheet!$C$10*(IF(Request!$D51=Worksheet!$A$47,Worksheet!I$47,IF(Request!$D51=Worksheet!$A$48,Worksheet!I$48,IF(Request!$D51=Worksheet!$A$49,Worksheet!I$49,IF(Request!$D51=Worksheet!$A$50,Worksheet!I$50,IF(Request!$D51=Worksheet!$A$51,Worksheet!I$51,IF(Request!$D51=Worksheet!$A$52,Worksheet!I$52,IF(Request!$D51=Worksheet!$A$53,Worksheet!I$53,IF(Request!$D51=Worksheet!$A$54,Worksheet!I$54,IF(Request!$D51=Worksheet!$A$55,Worksheet!I$55)))))))))),0)))))))</f>
        <v>0</v>
      </c>
      <c r="R51" s="80">
        <f ca="1">IF(AND($D51="F-SMRA",R23=0),0,IF(AND($D51="F-SMRB",R23=0),0,IF(AND($D51="F-SMRC",R23=0),0,IF($D51=Worksheet!$A$68,Worksheet!J311,IF($D51=Worksheet!$A$69,Worksheet!J311,IF($D51=Worksheet!$A$70,Worksheet!J311,ROUND((Request!R23/Worksheet!$C$5*Worksheet!$C$9*(IF(Request!$D51=Worksheet!$A$47,Worksheet!J$47,IF(Request!$D51=Worksheet!$A$48,Worksheet!J$48,IF(Request!$D51=Worksheet!$A$49,Worksheet!J$49,IF(Request!$D51=Worksheet!$A$50,Worksheet!J$50,IF(Request!$D51=Worksheet!$A$51,Worksheet!J$51,IF(Request!$D51=Worksheet!$A$52,Worksheet!J$52,IF(Request!$D51=Worksheet!$A$53,Worksheet!J$53,IF(Request!$D51=Worksheet!$A$54,Worksheet!J$54,IF(Request!$D51=Worksheet!$A$55,Worksheet!J$55))))))))))),0)+ROUND(R23/Worksheet!$C$5*Worksheet!$C$10*(IF(Request!$D51=Worksheet!$A$47,Worksheet!K$47,IF(Request!$D51=Worksheet!$A$48,Worksheet!K$48,IF(Request!$D51=Worksheet!$A$49,Worksheet!K$49,IF(Request!$D51=Worksheet!$A$50,Worksheet!K$50,IF(Request!$D51=Worksheet!$A$51,Worksheet!K$51,IF(Request!$D51=Worksheet!$A$52,Worksheet!K$52,IF(Request!$D51=Worksheet!$A$53,Worksheet!K$53,IF(Request!$D51=Worksheet!$A$54,Worksheet!K$54,IF(Request!$D51=Worksheet!$A$55,Worksheet!K$55)))))))))),0)))))))</f>
        <v>0</v>
      </c>
      <c r="S51" s="80">
        <f t="shared" ca="1" si="3"/>
        <v>0</v>
      </c>
      <c r="T51" s="65"/>
      <c r="U51" s="65"/>
      <c r="V51" s="65"/>
      <c r="W51" s="65"/>
      <c r="X51" s="65"/>
    </row>
    <row r="52" spans="1:24" hidden="1">
      <c r="A52" s="162">
        <v>18</v>
      </c>
      <c r="B52" s="257">
        <f t="shared" si="2"/>
        <v>0</v>
      </c>
      <c r="C52" s="233"/>
      <c r="D52" s="179" t="s">
        <v>54</v>
      </c>
      <c r="E52" s="202" t="str">
        <f>IF($D52=Worksheet!$A$59,Worksheet!B$59,IF($D52=Worksheet!$A$60,Worksheet!B$60,IF($D52=Worksheet!$A$61,Worksheet!B$61,IF($D52=Worksheet!$A$62,Worksheet!B$62,IF($D52=Worksheet!$A$63,Worksheet!B$63,IF($D52=Worksheet!$A$64,Worksheet!B$64,IF($D52=Worksheet!$A$65,Worksheet!B$65,IF($D52=Worksheet!$A$66,Worksheet!B$66,IF($D52=Worksheet!$A$67,Worksheet!B$67,IF($D52=Worksheet!$A$68,Worksheet!B286,IF($D52=Worksheet!$A$69,Worksheet!B286,IF($D52=Worksheet!$A$70,Worksheet!B286,IF($D52=Worksheet!$A$71,"")))))))))))))</f>
        <v/>
      </c>
      <c r="F52" s="263" t="str">
        <f>IF($D52=Worksheet!$A$59,Worksheet!C$59,IF($D52=Worksheet!$A$60,Worksheet!C$60,IF($D52=Worksheet!$A$61,Worksheet!C$61,IF($D52=Worksheet!$A$62,Worksheet!C$62,IF($D52=Worksheet!$A$63,Worksheet!C$63,IF($D52=Worksheet!$A$64,Worksheet!C$64,IF($D52=Worksheet!$A$65,Worksheet!C$65,IF($D52=Worksheet!$A$66,Worksheet!C$66,IF($D52=Worksheet!$A$67,Worksheet!C$67,IF($D52=Worksheet!$A$68,Worksheet!D286,IF($D52=Worksheet!$A$69,Worksheet!D286,IF($D52=Worksheet!$A$70,Worksheet!D286,IF($D52=Worksheet!$A$71,"")))))))))))))</f>
        <v/>
      </c>
      <c r="G52" s="264"/>
      <c r="H52" s="277" t="str">
        <f>IF($D52=Worksheet!$A$59,Worksheet!D$59,IF($D52=Worksheet!$A$60,Worksheet!D$60,IF($D52=Worksheet!$A$61,Worksheet!D$61,IF($D52=Worksheet!$A$62,Worksheet!D$62,IF($D52=Worksheet!$A$63,Worksheet!D$63,IF($D52=Worksheet!$A$64,Worksheet!D$64,IF($D52=Worksheet!$A$65,Worksheet!D$65,IF($D52=Worksheet!$A$66,Worksheet!D$66,IF($D52=Worksheet!$A$67,Worksheet!D$67,IF($D52=Worksheet!$A$68,Worksheet!F286,IF($D52=Worksheet!$A$69,Worksheet!F286,IF($D52=Worksheet!$A$70,Worksheet!F286,IF($D52=Worksheet!$A$71,"")))))))))))))</f>
        <v/>
      </c>
      <c r="I52" s="278"/>
      <c r="J52" s="277" t="str">
        <f>IF($D52=Worksheet!$A$59,Worksheet!E$59,IF($D52=Worksheet!$A$60,Worksheet!E$60,IF($D52=Worksheet!$A$61,Worksheet!E$61,IF($D52=Worksheet!$A$62,Worksheet!E$62,IF($D52=Worksheet!$A$63,Worksheet!E$63,IF($D52=Worksheet!$A$64,Worksheet!E$64,IF($D52=Worksheet!$A$65,Worksheet!E$65,IF($D52=Worksheet!$A$66,Worksheet!E$66,IF($D52=Worksheet!$A$67,Worksheet!E$67,IF($D52=Worksheet!$A$68,Worksheet!H286,IF($D52=Worksheet!$A$69,Worksheet!H286,IF($D52=Worksheet!$A$70,Worksheet!H286,IF($D52=Worksheet!$A$71,"")))))))))))))</f>
        <v/>
      </c>
      <c r="K52" s="278"/>
      <c r="L52" s="277" t="str">
        <f>IF($D52=Worksheet!$A$59,Worksheet!F$59,IF($D52=Worksheet!$A$60,Worksheet!F$60,IF($D52=Worksheet!$A$61,Worksheet!F$61,IF($D52=Worksheet!$A$62,Worksheet!F$62,IF($D52=Worksheet!$A$63,Worksheet!F$63,IF($D52=Worksheet!$A$64,Worksheet!F$64,IF($D52=Worksheet!$A$65,Worksheet!F$65,IF($D52=Worksheet!$A$66,Worksheet!F$66,IF($D52=Worksheet!$A$67,Worksheet!F$67,IF($D52=Worksheet!$A$68,Worksheet!J286,IF($D52=Worksheet!$A$69,Worksheet!J286,IF($D52=Worksheet!$A$70,Worksheet!J286,IF($D52=Worksheet!$A$71,"")))))))))))))</f>
        <v/>
      </c>
      <c r="M52" s="278"/>
      <c r="N52" s="80">
        <f ca="1">IF(AND(D52="F-SMRA",N24=0),0,IF(AND(D52="F-SMRB",N24=0),0,IF(AND(D52="F-SMRC",N24=0),0,IF($D52=Worksheet!$A$68,Worksheet!B312,IF($D52=Worksheet!$A$69,Worksheet!B312,IF($D52=Worksheet!$A$70,Worksheet!B312,ROUND((Request!N24/Worksheet!$C$5*Worksheet!$C$9*(IF(Request!$D52=Worksheet!$A$47,Worksheet!B$47,IF(Request!$D52=Worksheet!$A$48,Worksheet!B$48,IF(Request!$D52=Worksheet!$A$49,Worksheet!B$49,IF(Request!$D52=Worksheet!$A$50,Worksheet!B$50,IF(Request!$D52=Worksheet!$A$51,Worksheet!B$51,IF(Request!$D52=Worksheet!$A$52,Worksheet!B$52,IF(Request!$D52=Worksheet!$A$53,Worksheet!B$53,IF(Request!$D52=Worksheet!$A$54,Worksheet!B$54,IF(Request!$D52=Worksheet!$A$55,Worksheet!B$55))))))))))),0)+ROUND(N24/Worksheet!$C$5*Worksheet!$C$10*(IF(Request!$D52=Worksheet!$A$47,Worksheet!C$47,IF(Request!$D52=Worksheet!$A$48,Worksheet!C$48,IF(Request!$D52=Worksheet!$A$49,Worksheet!C$49,IF(Request!$D52=Worksheet!$A$50,Worksheet!C$50,IF(Request!$D52=Worksheet!$A$51,Worksheet!C$51,IF(Request!$D52=Worksheet!$A$52,Worksheet!C$52,IF(Request!$D52=Worksheet!$A$53,Worksheet!C$53,IF(Request!$D52=Worksheet!$A$54,Worksheet!C$54,IF(Request!$D52=Worksheet!$A$55,Worksheet!C$55)))))))))),0)))))))</f>
        <v>0</v>
      </c>
      <c r="O52" s="80">
        <f ca="1">IF(AND($D52="F-SMRA",O24=0),0,IF(AND($D52="F-SMRB",O24=0),0,IF(AND($D52="F-SMRC",O24=0),0,IF($D52=Worksheet!$A$68,Worksheet!D312,IF($D52=Worksheet!$A$69,Worksheet!D312,IF($D52=Worksheet!$A$70,Worksheet!D312,ROUND((Request!O24/Worksheet!$C$5*Worksheet!$C$9*(IF(Request!$D52=Worksheet!$A$47,Worksheet!D$47,IF(Request!$D52=Worksheet!$A$48,Worksheet!D$48,IF(Request!$D52=Worksheet!$A$49,Worksheet!D$49,IF(Request!$D52=Worksheet!$A$50,Worksheet!D$50,IF(Request!$D52=Worksheet!$A$51,Worksheet!D$51,IF(Request!$D52=Worksheet!$A$52,Worksheet!D$52,IF(Request!$D52=Worksheet!$A$53,Worksheet!D$53,IF(Request!$D52=Worksheet!$A$54,Worksheet!D$54,IF(Request!$D52=Worksheet!$A$55,Worksheet!D$55))))))))))),0)+ROUND(O24/Worksheet!$C$5*Worksheet!$C$10*(IF(Request!$D52=Worksheet!$A$47,Worksheet!E$47,IF(Request!$D52=Worksheet!$A$48,Worksheet!E$48,IF(Request!$D52=Worksheet!$A$49,Worksheet!E$49,IF(Request!$D52=Worksheet!$A$50,Worksheet!E$50,IF(Request!$D52=Worksheet!$A$51,Worksheet!E$51,IF(Request!$D52=Worksheet!$A$52,Worksheet!E$52,IF(Request!$D52=Worksheet!$A$53,Worksheet!E$53,IF(Request!$D52=Worksheet!$A$54,Worksheet!E$54,IF(Request!$D52=Worksheet!$A$55,Worksheet!E$55)))))))))),0)))))))</f>
        <v>0</v>
      </c>
      <c r="P52" s="80">
        <f ca="1">IF(AND($D52="F-SMRA",P24=0),0,IF(AND($D52="F-SMRB",P24=0),0,IF(AND($D52="F-SMRC",P24=0),0,IF($D52=Worksheet!$A$68,Worksheet!F312,IF($D52=Worksheet!$A$69,Worksheet!F312,IF($D52=Worksheet!$A$70,Worksheet!F312,ROUND((Request!P24/Worksheet!$C$5*Worksheet!$C$9*(IF(Request!$D52=Worksheet!$A$47,Worksheet!F$47,IF(Request!$D52=Worksheet!$A$48,Worksheet!F$48,IF(Request!$D52=Worksheet!$A$49,Worksheet!F$49,IF(Request!$D52=Worksheet!$A$50,Worksheet!F$50,IF(Request!$D52=Worksheet!$A$51,Worksheet!F$51,IF(Request!$D52=Worksheet!$A$52,Worksheet!F$52,IF(Request!$D52=Worksheet!$A$53,Worksheet!F$53,IF(Request!$D52=Worksheet!$A$54,Worksheet!F$54,IF(Request!$D52=Worksheet!$A$55,Worksheet!F$55))))))))))),0)+ROUND(P24/Worksheet!$C$5*Worksheet!$C$10*(IF(Request!$D52=Worksheet!$A$47,Worksheet!G$47,IF(Request!$D52=Worksheet!$A$48,Worksheet!G$48,IF(Request!$D52=Worksheet!$A$49,Worksheet!G$49,IF(Request!$D52=Worksheet!$A$50,Worksheet!G$50,IF(Request!$D52=Worksheet!$A$51,Worksheet!G$51,IF(Request!$D52=Worksheet!$A$52,Worksheet!G$52,IF(Request!$D52=Worksheet!$A$53,Worksheet!G$53,IF(Request!$D52=Worksheet!$A$54,Worksheet!G$54,IF(Request!$D52=Worksheet!$A$55,Worksheet!G$55)))))))))),0)))))))</f>
        <v>0</v>
      </c>
      <c r="Q52" s="80">
        <f ca="1">IF(AND($D52="F-SMRA",Q24=0),0,IF(AND($D52="F-SMRB",Q24=0),0,IF(AND($D52="F-SMRC",Q24=0),0,IF($D52=Worksheet!$A$68,Worksheet!H312,IF($D52=Worksheet!$A$69,Worksheet!H312,IF($D52=Worksheet!$A$70,Worksheet!H312,ROUND((Request!Q24/Worksheet!$C$5*Worksheet!$C$9*(IF(Request!$D52=Worksheet!$A$47,Worksheet!H$47,IF(Request!$D52=Worksheet!$A$48,Worksheet!H$48,IF(Request!$D52=Worksheet!$A$49,Worksheet!H$49,IF(Request!$D52=Worksheet!$A$50,Worksheet!H$50,IF(Request!$D52=Worksheet!$A$51,Worksheet!H$51,IF(Request!$D52=Worksheet!$A$52,Worksheet!H$52,IF(Request!$D52=Worksheet!$A$53,Worksheet!H$53,IF(Request!$D52=Worksheet!$A$54,Worksheet!H$54,IF(Request!$D52=Worksheet!$A$55,Worksheet!H$55))))))))))),0)+ROUND(Q24/Worksheet!$C$5*Worksheet!$C$10*(IF(Request!$D52=Worksheet!$A$47,Worksheet!I$47,IF(Request!$D52=Worksheet!$A$48,Worksheet!I$48,IF(Request!$D52=Worksheet!$A$49,Worksheet!I$49,IF(Request!$D52=Worksheet!$A$50,Worksheet!I$50,IF(Request!$D52=Worksheet!$A$51,Worksheet!I$51,IF(Request!$D52=Worksheet!$A$52,Worksheet!I$52,IF(Request!$D52=Worksheet!$A$53,Worksheet!I$53,IF(Request!$D52=Worksheet!$A$54,Worksheet!I$54,IF(Request!$D52=Worksheet!$A$55,Worksheet!I$55)))))))))),0)))))))</f>
        <v>0</v>
      </c>
      <c r="R52" s="80">
        <f ca="1">IF(AND($D52="F-SMRA",R24=0),0,IF(AND($D52="F-SMRB",R24=0),0,IF(AND($D52="F-SMRC",R24=0),0,IF($D52=Worksheet!$A$68,Worksheet!J312,IF($D52=Worksheet!$A$69,Worksheet!J312,IF($D52=Worksheet!$A$70,Worksheet!J312,ROUND((Request!R24/Worksheet!$C$5*Worksheet!$C$9*(IF(Request!$D52=Worksheet!$A$47,Worksheet!J$47,IF(Request!$D52=Worksheet!$A$48,Worksheet!J$48,IF(Request!$D52=Worksheet!$A$49,Worksheet!J$49,IF(Request!$D52=Worksheet!$A$50,Worksheet!J$50,IF(Request!$D52=Worksheet!$A$51,Worksheet!J$51,IF(Request!$D52=Worksheet!$A$52,Worksheet!J$52,IF(Request!$D52=Worksheet!$A$53,Worksheet!J$53,IF(Request!$D52=Worksheet!$A$54,Worksheet!J$54,IF(Request!$D52=Worksheet!$A$55,Worksheet!J$55))))))))))),0)+ROUND(R24/Worksheet!$C$5*Worksheet!$C$10*(IF(Request!$D52=Worksheet!$A$47,Worksheet!K$47,IF(Request!$D52=Worksheet!$A$48,Worksheet!K$48,IF(Request!$D52=Worksheet!$A$49,Worksheet!K$49,IF(Request!$D52=Worksheet!$A$50,Worksheet!K$50,IF(Request!$D52=Worksheet!$A$51,Worksheet!K$51,IF(Request!$D52=Worksheet!$A$52,Worksheet!K$52,IF(Request!$D52=Worksheet!$A$53,Worksheet!K$53,IF(Request!$D52=Worksheet!$A$54,Worksheet!K$54,IF(Request!$D52=Worksheet!$A$55,Worksheet!K$55)))))))))),0)))))))</f>
        <v>0</v>
      </c>
      <c r="S52" s="80">
        <f t="shared" ca="1" si="3"/>
        <v>0</v>
      </c>
      <c r="T52" s="65"/>
      <c r="U52" s="65"/>
      <c r="V52" s="65"/>
      <c r="W52" s="65"/>
      <c r="X52" s="65"/>
    </row>
    <row r="53" spans="1:24" hidden="1">
      <c r="A53" s="162">
        <v>19</v>
      </c>
      <c r="B53" s="257">
        <f t="shared" si="2"/>
        <v>0</v>
      </c>
      <c r="C53" s="233"/>
      <c r="D53" s="179" t="s">
        <v>54</v>
      </c>
      <c r="E53" s="202" t="str">
        <f>IF($D53=Worksheet!$A$59,Worksheet!B$59,IF($D53=Worksheet!$A$60,Worksheet!B$60,IF($D53=Worksheet!$A$61,Worksheet!B$61,IF($D53=Worksheet!$A$62,Worksheet!B$62,IF($D53=Worksheet!$A$63,Worksheet!B$63,IF($D53=Worksheet!$A$64,Worksheet!B$64,IF($D53=Worksheet!$A$65,Worksheet!B$65,IF($D53=Worksheet!$A$66,Worksheet!B$66,IF($D53=Worksheet!$A$67,Worksheet!B$67,IF($D53=Worksheet!$A$68,Worksheet!B287,IF($D53=Worksheet!$A$69,Worksheet!B287,IF($D53=Worksheet!$A$70,Worksheet!B287,IF($D53=Worksheet!$A$71,"")))))))))))))</f>
        <v/>
      </c>
      <c r="F53" s="263" t="str">
        <f>IF($D53=Worksheet!$A$59,Worksheet!C$59,IF($D53=Worksheet!$A$60,Worksheet!C$60,IF($D53=Worksheet!$A$61,Worksheet!C$61,IF($D53=Worksheet!$A$62,Worksheet!C$62,IF($D53=Worksheet!$A$63,Worksheet!C$63,IF($D53=Worksheet!$A$64,Worksheet!C$64,IF($D53=Worksheet!$A$65,Worksheet!C$65,IF($D53=Worksheet!$A$66,Worksheet!C$66,IF($D53=Worksheet!$A$67,Worksheet!C$67,IF($D53=Worksheet!$A$68,Worksheet!D287,IF($D53=Worksheet!$A$69,Worksheet!D287,IF($D53=Worksheet!$A$70,Worksheet!D287,IF($D53=Worksheet!$A$71,"")))))))))))))</f>
        <v/>
      </c>
      <c r="G53" s="264"/>
      <c r="H53" s="277" t="str">
        <f>IF($D53=Worksheet!$A$59,Worksheet!D$59,IF($D53=Worksheet!$A$60,Worksheet!D$60,IF($D53=Worksheet!$A$61,Worksheet!D$61,IF($D53=Worksheet!$A$62,Worksheet!D$62,IF($D53=Worksheet!$A$63,Worksheet!D$63,IF($D53=Worksheet!$A$64,Worksheet!D$64,IF($D53=Worksheet!$A$65,Worksheet!D$65,IF($D53=Worksheet!$A$66,Worksheet!D$66,IF($D53=Worksheet!$A$67,Worksheet!D$67,IF($D53=Worksheet!$A$68,Worksheet!F287,IF($D53=Worksheet!$A$69,Worksheet!F287,IF($D53=Worksheet!$A$70,Worksheet!F287,IF($D53=Worksheet!$A$71,"")))))))))))))</f>
        <v/>
      </c>
      <c r="I53" s="278"/>
      <c r="J53" s="277" t="str">
        <f>IF($D53=Worksheet!$A$59,Worksheet!E$59,IF($D53=Worksheet!$A$60,Worksheet!E$60,IF($D53=Worksheet!$A$61,Worksheet!E$61,IF($D53=Worksheet!$A$62,Worksheet!E$62,IF($D53=Worksheet!$A$63,Worksheet!E$63,IF($D53=Worksheet!$A$64,Worksheet!E$64,IF($D53=Worksheet!$A$65,Worksheet!E$65,IF($D53=Worksheet!$A$66,Worksheet!E$66,IF($D53=Worksheet!$A$67,Worksheet!E$67,IF($D53=Worksheet!$A$68,Worksheet!H287,IF($D53=Worksheet!$A$69,Worksheet!H287,IF($D53=Worksheet!$A$70,Worksheet!H287,IF($D53=Worksheet!$A$71,"")))))))))))))</f>
        <v/>
      </c>
      <c r="K53" s="278"/>
      <c r="L53" s="277" t="str">
        <f>IF($D53=Worksheet!$A$59,Worksheet!F$59,IF($D53=Worksheet!$A$60,Worksheet!F$60,IF($D53=Worksheet!$A$61,Worksheet!F$61,IF($D53=Worksheet!$A$62,Worksheet!F$62,IF($D53=Worksheet!$A$63,Worksheet!F$63,IF($D53=Worksheet!$A$64,Worksheet!F$64,IF($D53=Worksheet!$A$65,Worksheet!F$65,IF($D53=Worksheet!$A$66,Worksheet!F$66,IF($D53=Worksheet!$A$67,Worksheet!F$67,IF($D53=Worksheet!$A$68,Worksheet!J287,IF($D53=Worksheet!$A$69,Worksheet!J287,IF($D53=Worksheet!$A$70,Worksheet!J287,IF($D53=Worksheet!$A$71,"")))))))))))))</f>
        <v/>
      </c>
      <c r="M53" s="278"/>
      <c r="N53" s="80">
        <f ca="1">IF(AND(D53="F-SMRA",N25=0),0,IF(AND(D53="F-SMRB",N25=0),0,IF(AND(D53="F-SMRC",N25=0),0,IF($D53=Worksheet!$A$68,Worksheet!B313,IF($D53=Worksheet!$A$69,Worksheet!B313,IF($D53=Worksheet!$A$70,Worksheet!B313,ROUND((Request!N25/Worksheet!$C$5*Worksheet!$C$9*(IF(Request!$D53=Worksheet!$A$47,Worksheet!B$47,IF(Request!$D53=Worksheet!$A$48,Worksheet!B$48,IF(Request!$D53=Worksheet!$A$49,Worksheet!B$49,IF(Request!$D53=Worksheet!$A$50,Worksheet!B$50,IF(Request!$D53=Worksheet!$A$51,Worksheet!B$51,IF(Request!$D53=Worksheet!$A$52,Worksheet!B$52,IF(Request!$D53=Worksheet!$A$53,Worksheet!B$53,IF(Request!$D53=Worksheet!$A$54,Worksheet!B$54,IF(Request!$D53=Worksheet!$A$55,Worksheet!B$55))))))))))),0)+ROUND(N25/Worksheet!$C$5*Worksheet!$C$10*(IF(Request!$D53=Worksheet!$A$47,Worksheet!C$47,IF(Request!$D53=Worksheet!$A$48,Worksheet!C$48,IF(Request!$D53=Worksheet!$A$49,Worksheet!C$49,IF(Request!$D53=Worksheet!$A$50,Worksheet!C$50,IF(Request!$D53=Worksheet!$A$51,Worksheet!C$51,IF(Request!$D53=Worksheet!$A$52,Worksheet!C$52,IF(Request!$D53=Worksheet!$A$53,Worksheet!C$53,IF(Request!$D53=Worksheet!$A$54,Worksheet!C$54,IF(Request!$D53=Worksheet!$A$55,Worksheet!C$55)))))))))),0)))))))</f>
        <v>0</v>
      </c>
      <c r="O53" s="80">
        <f ca="1">IF(AND($D53="F-SMRA",O25=0),0,IF(AND($D53="F-SMRB",O25=0),0,IF(AND($D53="F-SMRC",O25=0),0,IF($D53=Worksheet!$A$68,Worksheet!D313,IF($D53=Worksheet!$A$69,Worksheet!D313,IF($D53=Worksheet!$A$70,Worksheet!D313,ROUND((Request!O25/Worksheet!$C$5*Worksheet!$C$9*(IF(Request!$D53=Worksheet!$A$47,Worksheet!D$47,IF(Request!$D53=Worksheet!$A$48,Worksheet!D$48,IF(Request!$D53=Worksheet!$A$49,Worksheet!D$49,IF(Request!$D53=Worksheet!$A$50,Worksheet!D$50,IF(Request!$D53=Worksheet!$A$51,Worksheet!D$51,IF(Request!$D53=Worksheet!$A$52,Worksheet!D$52,IF(Request!$D53=Worksheet!$A$53,Worksheet!D$53,IF(Request!$D53=Worksheet!$A$54,Worksheet!D$54,IF(Request!$D53=Worksheet!$A$55,Worksheet!D$55))))))))))),0)+ROUND(O25/Worksheet!$C$5*Worksheet!$C$10*(IF(Request!$D53=Worksheet!$A$47,Worksheet!E$47,IF(Request!$D53=Worksheet!$A$48,Worksheet!E$48,IF(Request!$D53=Worksheet!$A$49,Worksheet!E$49,IF(Request!$D53=Worksheet!$A$50,Worksheet!E$50,IF(Request!$D53=Worksheet!$A$51,Worksheet!E$51,IF(Request!$D53=Worksheet!$A$52,Worksheet!E$52,IF(Request!$D53=Worksheet!$A$53,Worksheet!E$53,IF(Request!$D53=Worksheet!$A$54,Worksheet!E$54,IF(Request!$D53=Worksheet!$A$55,Worksheet!E$55)))))))))),0)))))))</f>
        <v>0</v>
      </c>
      <c r="P53" s="80">
        <f ca="1">IF(AND($D53="F-SMRA",P25=0),0,IF(AND($D53="F-SMRB",P25=0),0,IF(AND($D53="F-SMRC",P25=0),0,IF($D53=Worksheet!$A$68,Worksheet!F313,IF($D53=Worksheet!$A$69,Worksheet!F313,IF($D53=Worksheet!$A$70,Worksheet!F313,ROUND((Request!P25/Worksheet!$C$5*Worksheet!$C$9*(IF(Request!$D53=Worksheet!$A$47,Worksheet!F$47,IF(Request!$D53=Worksheet!$A$48,Worksheet!F$48,IF(Request!$D53=Worksheet!$A$49,Worksheet!F$49,IF(Request!$D53=Worksheet!$A$50,Worksheet!F$50,IF(Request!$D53=Worksheet!$A$51,Worksheet!F$51,IF(Request!$D53=Worksheet!$A$52,Worksheet!F$52,IF(Request!$D53=Worksheet!$A$53,Worksheet!F$53,IF(Request!$D53=Worksheet!$A$54,Worksheet!F$54,IF(Request!$D53=Worksheet!$A$55,Worksheet!F$55))))))))))),0)+ROUND(P25/Worksheet!$C$5*Worksheet!$C$10*(IF(Request!$D53=Worksheet!$A$47,Worksheet!G$47,IF(Request!$D53=Worksheet!$A$48,Worksheet!G$48,IF(Request!$D53=Worksheet!$A$49,Worksheet!G$49,IF(Request!$D53=Worksheet!$A$50,Worksheet!G$50,IF(Request!$D53=Worksheet!$A$51,Worksheet!G$51,IF(Request!$D53=Worksheet!$A$52,Worksheet!G$52,IF(Request!$D53=Worksheet!$A$53,Worksheet!G$53,IF(Request!$D53=Worksheet!$A$54,Worksheet!G$54,IF(Request!$D53=Worksheet!$A$55,Worksheet!G$55)))))))))),0)))))))</f>
        <v>0</v>
      </c>
      <c r="Q53" s="80">
        <f ca="1">IF(AND($D53="F-SMRA",Q25=0),0,IF(AND($D53="F-SMRB",Q25=0),0,IF(AND($D53="F-SMRC",Q25=0),0,IF($D53=Worksheet!$A$68,Worksheet!H313,IF($D53=Worksheet!$A$69,Worksheet!H313,IF($D53=Worksheet!$A$70,Worksheet!H313,ROUND((Request!Q25/Worksheet!$C$5*Worksheet!$C$9*(IF(Request!$D53=Worksheet!$A$47,Worksheet!H$47,IF(Request!$D53=Worksheet!$A$48,Worksheet!H$48,IF(Request!$D53=Worksheet!$A$49,Worksheet!H$49,IF(Request!$D53=Worksheet!$A$50,Worksheet!H$50,IF(Request!$D53=Worksheet!$A$51,Worksheet!H$51,IF(Request!$D53=Worksheet!$A$52,Worksheet!H$52,IF(Request!$D53=Worksheet!$A$53,Worksheet!H$53,IF(Request!$D53=Worksheet!$A$54,Worksheet!H$54,IF(Request!$D53=Worksheet!$A$55,Worksheet!H$55))))))))))),0)+ROUND(Q25/Worksheet!$C$5*Worksheet!$C$10*(IF(Request!$D53=Worksheet!$A$47,Worksheet!I$47,IF(Request!$D53=Worksheet!$A$48,Worksheet!I$48,IF(Request!$D53=Worksheet!$A$49,Worksheet!I$49,IF(Request!$D53=Worksheet!$A$50,Worksheet!I$50,IF(Request!$D53=Worksheet!$A$51,Worksheet!I$51,IF(Request!$D53=Worksheet!$A$52,Worksheet!I$52,IF(Request!$D53=Worksheet!$A$53,Worksheet!I$53,IF(Request!$D53=Worksheet!$A$54,Worksheet!I$54,IF(Request!$D53=Worksheet!$A$55,Worksheet!I$55)))))))))),0)))))))</f>
        <v>0</v>
      </c>
      <c r="R53" s="80">
        <f ca="1">IF(AND($D53="F-SMRA",R25=0),0,IF(AND($D53="F-SMRB",R25=0),0,IF(AND($D53="F-SMRC",R25=0),0,IF($D53=Worksheet!$A$68,Worksheet!J313,IF($D53=Worksheet!$A$69,Worksheet!J313,IF($D53=Worksheet!$A$70,Worksheet!J313,ROUND((Request!R25/Worksheet!$C$5*Worksheet!$C$9*(IF(Request!$D53=Worksheet!$A$47,Worksheet!J$47,IF(Request!$D53=Worksheet!$A$48,Worksheet!J$48,IF(Request!$D53=Worksheet!$A$49,Worksheet!J$49,IF(Request!$D53=Worksheet!$A$50,Worksheet!J$50,IF(Request!$D53=Worksheet!$A$51,Worksheet!J$51,IF(Request!$D53=Worksheet!$A$52,Worksheet!J$52,IF(Request!$D53=Worksheet!$A$53,Worksheet!J$53,IF(Request!$D53=Worksheet!$A$54,Worksheet!J$54,IF(Request!$D53=Worksheet!$A$55,Worksheet!J$55))))))))))),0)+ROUND(R25/Worksheet!$C$5*Worksheet!$C$10*(IF(Request!$D53=Worksheet!$A$47,Worksheet!K$47,IF(Request!$D53=Worksheet!$A$48,Worksheet!K$48,IF(Request!$D53=Worksheet!$A$49,Worksheet!K$49,IF(Request!$D53=Worksheet!$A$50,Worksheet!K$50,IF(Request!$D53=Worksheet!$A$51,Worksheet!K$51,IF(Request!$D53=Worksheet!$A$52,Worksheet!K$52,IF(Request!$D53=Worksheet!$A$53,Worksheet!K$53,IF(Request!$D53=Worksheet!$A$54,Worksheet!K$54,IF(Request!$D53=Worksheet!$A$55,Worksheet!K$55)))))))))),0)))))))</f>
        <v>0</v>
      </c>
      <c r="S53" s="80">
        <f t="shared" ca="1" si="3"/>
        <v>0</v>
      </c>
      <c r="T53" s="65"/>
      <c r="U53" s="65"/>
      <c r="V53" s="65"/>
      <c r="W53" s="65"/>
      <c r="X53" s="65"/>
    </row>
    <row r="54" spans="1:24" hidden="1">
      <c r="A54" s="162">
        <v>20</v>
      </c>
      <c r="B54" s="257">
        <f t="shared" si="2"/>
        <v>0</v>
      </c>
      <c r="C54" s="233"/>
      <c r="D54" s="179" t="s">
        <v>54</v>
      </c>
      <c r="E54" s="202" t="str">
        <f>IF($D54=Worksheet!$A$59,Worksheet!B$59,IF($D54=Worksheet!$A$60,Worksheet!B$60,IF($D54=Worksheet!$A$61,Worksheet!B$61,IF($D54=Worksheet!$A$62,Worksheet!B$62,IF($D54=Worksheet!$A$63,Worksheet!B$63,IF($D54=Worksheet!$A$64,Worksheet!B$64,IF($D54=Worksheet!$A$65,Worksheet!B$65,IF($D54=Worksheet!$A$66,Worksheet!B$66,IF($D54=Worksheet!$A$67,Worksheet!B$67,IF($D54=Worksheet!$A$68,Worksheet!B288,IF($D54=Worksheet!$A$69,Worksheet!B288,IF($D54=Worksheet!$A$70,Worksheet!B288,IF($D54=Worksheet!$A$71,"")))))))))))))</f>
        <v/>
      </c>
      <c r="F54" s="263" t="str">
        <f>IF($D54=Worksheet!$A$59,Worksheet!C$59,IF($D54=Worksheet!$A$60,Worksheet!C$60,IF($D54=Worksheet!$A$61,Worksheet!C$61,IF($D54=Worksheet!$A$62,Worksheet!C$62,IF($D54=Worksheet!$A$63,Worksheet!C$63,IF($D54=Worksheet!$A$64,Worksheet!C$64,IF($D54=Worksheet!$A$65,Worksheet!C$65,IF($D54=Worksheet!$A$66,Worksheet!C$66,IF($D54=Worksheet!$A$67,Worksheet!C$67,IF($D54=Worksheet!$A$68,Worksheet!D288,IF($D54=Worksheet!$A$69,Worksheet!D288,IF($D54=Worksheet!$A$70,Worksheet!D288,IF($D54=Worksheet!$A$71,"")))))))))))))</f>
        <v/>
      </c>
      <c r="G54" s="264"/>
      <c r="H54" s="277" t="str">
        <f>IF($D54=Worksheet!$A$59,Worksheet!D$59,IF($D54=Worksheet!$A$60,Worksheet!D$60,IF($D54=Worksheet!$A$61,Worksheet!D$61,IF($D54=Worksheet!$A$62,Worksheet!D$62,IF($D54=Worksheet!$A$63,Worksheet!D$63,IF($D54=Worksheet!$A$64,Worksheet!D$64,IF($D54=Worksheet!$A$65,Worksheet!D$65,IF($D54=Worksheet!$A$66,Worksheet!D$66,IF($D54=Worksheet!$A$67,Worksheet!D$67,IF($D54=Worksheet!$A$68,Worksheet!F288,IF($D54=Worksheet!$A$69,Worksheet!F288,IF($D54=Worksheet!$A$70,Worksheet!F288,IF($D54=Worksheet!$A$71,"")))))))))))))</f>
        <v/>
      </c>
      <c r="I54" s="278"/>
      <c r="J54" s="277" t="str">
        <f>IF($D54=Worksheet!$A$59,Worksheet!E$59,IF($D54=Worksheet!$A$60,Worksheet!E$60,IF($D54=Worksheet!$A$61,Worksheet!E$61,IF($D54=Worksheet!$A$62,Worksheet!E$62,IF($D54=Worksheet!$A$63,Worksheet!E$63,IF($D54=Worksheet!$A$64,Worksheet!E$64,IF($D54=Worksheet!$A$65,Worksheet!E$65,IF($D54=Worksheet!$A$66,Worksheet!E$66,IF($D54=Worksheet!$A$67,Worksheet!E$67,IF($D54=Worksheet!$A$68,Worksheet!H288,IF($D54=Worksheet!$A$69,Worksheet!H288,IF($D54=Worksheet!$A$70,Worksheet!H288,IF($D54=Worksheet!$A$71,"")))))))))))))</f>
        <v/>
      </c>
      <c r="K54" s="278"/>
      <c r="L54" s="277" t="str">
        <f>IF($D54=Worksheet!$A$59,Worksheet!F$59,IF($D54=Worksheet!$A$60,Worksheet!F$60,IF($D54=Worksheet!$A$61,Worksheet!F$61,IF($D54=Worksheet!$A$62,Worksheet!F$62,IF($D54=Worksheet!$A$63,Worksheet!F$63,IF($D54=Worksheet!$A$64,Worksheet!F$64,IF($D54=Worksheet!$A$65,Worksheet!F$65,IF($D54=Worksheet!$A$66,Worksheet!F$66,IF($D54=Worksheet!$A$67,Worksheet!F$67,IF($D54=Worksheet!$A$68,Worksheet!J288,IF($D54=Worksheet!$A$69,Worksheet!J288,IF($D54=Worksheet!$A$70,Worksheet!J288,IF($D54=Worksheet!$A$71,"")))))))))))))</f>
        <v/>
      </c>
      <c r="M54" s="278"/>
      <c r="N54" s="80">
        <f ca="1">IF(AND(D54="F-SMRA",N26=0),0,IF(AND(D54="F-SMRB",N26=0),0,IF(AND(D54="F-SMRC",N26=0),0,IF($D54=Worksheet!$A$68,Worksheet!B314,IF($D54=Worksheet!$A$69,Worksheet!B314,IF($D54=Worksheet!$A$70,Worksheet!B314,ROUND((Request!N26/Worksheet!$C$5*Worksheet!$C$9*(IF(Request!$D54=Worksheet!$A$47,Worksheet!B$47,IF(Request!$D54=Worksheet!$A$48,Worksheet!B$48,IF(Request!$D54=Worksheet!$A$49,Worksheet!B$49,IF(Request!$D54=Worksheet!$A$50,Worksheet!B$50,IF(Request!$D54=Worksheet!$A$51,Worksheet!B$51,IF(Request!$D54=Worksheet!$A$52,Worksheet!B$52,IF(Request!$D54=Worksheet!$A$53,Worksheet!B$53,IF(Request!$D54=Worksheet!$A$54,Worksheet!B$54,IF(Request!$D54=Worksheet!$A$55,Worksheet!B$55))))))))))),0)+ROUND(N26/Worksheet!$C$5*Worksheet!$C$10*(IF(Request!$D54=Worksheet!$A$47,Worksheet!C$47,IF(Request!$D54=Worksheet!$A$48,Worksheet!C$48,IF(Request!$D54=Worksheet!$A$49,Worksheet!C$49,IF(Request!$D54=Worksheet!$A$50,Worksheet!C$50,IF(Request!$D54=Worksheet!$A$51,Worksheet!C$51,IF(Request!$D54=Worksheet!$A$52,Worksheet!C$52,IF(Request!$D54=Worksheet!$A$53,Worksheet!C$53,IF(Request!$D54=Worksheet!$A$54,Worksheet!C$54,IF(Request!$D54=Worksheet!$A$55,Worksheet!C$55)))))))))),0)))))))</f>
        <v>0</v>
      </c>
      <c r="O54" s="80">
        <f ca="1">IF(AND($D54="F-SMRA",O26=0),0,IF(AND($D54="F-SMRB",O26=0),0,IF(AND($D54="F-SMRC",O26=0),0,IF($D54=Worksheet!$A$68,Worksheet!D314,IF($D54=Worksheet!$A$69,Worksheet!D314,IF($D54=Worksheet!$A$70,Worksheet!D314,ROUND((Request!O26/Worksheet!$C$5*Worksheet!$C$9*(IF(Request!$D54=Worksheet!$A$47,Worksheet!D$47,IF(Request!$D54=Worksheet!$A$48,Worksheet!D$48,IF(Request!$D54=Worksheet!$A$49,Worksheet!D$49,IF(Request!$D54=Worksheet!$A$50,Worksheet!D$50,IF(Request!$D54=Worksheet!$A$51,Worksheet!D$51,IF(Request!$D54=Worksheet!$A$52,Worksheet!D$52,IF(Request!$D54=Worksheet!$A$53,Worksheet!D$53,IF(Request!$D54=Worksheet!$A$54,Worksheet!D$54,IF(Request!$D54=Worksheet!$A$55,Worksheet!D$55))))))))))),0)+ROUND(O26/Worksheet!$C$5*Worksheet!$C$10*(IF(Request!$D54=Worksheet!$A$47,Worksheet!E$47,IF(Request!$D54=Worksheet!$A$48,Worksheet!E$48,IF(Request!$D54=Worksheet!$A$49,Worksheet!E$49,IF(Request!$D54=Worksheet!$A$50,Worksheet!E$50,IF(Request!$D54=Worksheet!$A$51,Worksheet!E$51,IF(Request!$D54=Worksheet!$A$52,Worksheet!E$52,IF(Request!$D54=Worksheet!$A$53,Worksheet!E$53,IF(Request!$D54=Worksheet!$A$54,Worksheet!E$54,IF(Request!$D54=Worksheet!$A$55,Worksheet!E$55)))))))))),0)))))))</f>
        <v>0</v>
      </c>
      <c r="P54" s="80">
        <f ca="1">IF(AND($D54="F-SMRA",P26=0),0,IF(AND($D54="F-SMRB",P26=0),0,IF(AND($D54="F-SMRC",P26=0),0,IF($D54=Worksheet!$A$68,Worksheet!F314,IF($D54=Worksheet!$A$69,Worksheet!F314,IF($D54=Worksheet!$A$70,Worksheet!F314,ROUND((Request!P26/Worksheet!$C$5*Worksheet!$C$9*(IF(Request!$D54=Worksheet!$A$47,Worksheet!F$47,IF(Request!$D54=Worksheet!$A$48,Worksheet!F$48,IF(Request!$D54=Worksheet!$A$49,Worksheet!F$49,IF(Request!$D54=Worksheet!$A$50,Worksheet!F$50,IF(Request!$D54=Worksheet!$A$51,Worksheet!F$51,IF(Request!$D54=Worksheet!$A$52,Worksheet!F$52,IF(Request!$D54=Worksheet!$A$53,Worksheet!F$53,IF(Request!$D54=Worksheet!$A$54,Worksheet!F$54,IF(Request!$D54=Worksheet!$A$55,Worksheet!F$55))))))))))),0)+ROUND(P26/Worksheet!$C$5*Worksheet!$C$10*(IF(Request!$D54=Worksheet!$A$47,Worksheet!G$47,IF(Request!$D54=Worksheet!$A$48,Worksheet!G$48,IF(Request!$D54=Worksheet!$A$49,Worksheet!G$49,IF(Request!$D54=Worksheet!$A$50,Worksheet!G$50,IF(Request!$D54=Worksheet!$A$51,Worksheet!G$51,IF(Request!$D54=Worksheet!$A$52,Worksheet!G$52,IF(Request!$D54=Worksheet!$A$53,Worksheet!G$53,IF(Request!$D54=Worksheet!$A$54,Worksheet!G$54,IF(Request!$D54=Worksheet!$A$55,Worksheet!G$55)))))))))),0)))))))</f>
        <v>0</v>
      </c>
      <c r="Q54" s="80">
        <f ca="1">IF(AND($D54="F-SMRA",Q26=0),0,IF(AND($D54="F-SMRB",Q26=0),0,IF(AND($D54="F-SMRC",Q26=0),0,IF($D54=Worksheet!$A$68,Worksheet!H314,IF($D54=Worksheet!$A$69,Worksheet!H314,IF($D54=Worksheet!$A$70,Worksheet!H314,ROUND((Request!Q26/Worksheet!$C$5*Worksheet!$C$9*(IF(Request!$D54=Worksheet!$A$47,Worksheet!H$47,IF(Request!$D54=Worksheet!$A$48,Worksheet!H$48,IF(Request!$D54=Worksheet!$A$49,Worksheet!H$49,IF(Request!$D54=Worksheet!$A$50,Worksheet!H$50,IF(Request!$D54=Worksheet!$A$51,Worksheet!H$51,IF(Request!$D54=Worksheet!$A$52,Worksheet!H$52,IF(Request!$D54=Worksheet!$A$53,Worksheet!H$53,IF(Request!$D54=Worksheet!$A$54,Worksheet!H$54,IF(Request!$D54=Worksheet!$A$55,Worksheet!H$55))))))))))),0)+ROUND(Q26/Worksheet!$C$5*Worksheet!$C$10*(IF(Request!$D54=Worksheet!$A$47,Worksheet!I$47,IF(Request!$D54=Worksheet!$A$48,Worksheet!I$48,IF(Request!$D54=Worksheet!$A$49,Worksheet!I$49,IF(Request!$D54=Worksheet!$A$50,Worksheet!I$50,IF(Request!$D54=Worksheet!$A$51,Worksheet!I$51,IF(Request!$D54=Worksheet!$A$52,Worksheet!I$52,IF(Request!$D54=Worksheet!$A$53,Worksheet!I$53,IF(Request!$D54=Worksheet!$A$54,Worksheet!I$54,IF(Request!$D54=Worksheet!$A$55,Worksheet!I$55)))))))))),0)))))))</f>
        <v>0</v>
      </c>
      <c r="R54" s="80">
        <f ca="1">IF(AND($D54="F-SMRA",R26=0),0,IF(AND($D54="F-SMRB",R26=0),0,IF(AND($D54="F-SMRC",R26=0),0,IF($D54=Worksheet!$A$68,Worksheet!J314,IF($D54=Worksheet!$A$69,Worksheet!J314,IF($D54=Worksheet!$A$70,Worksheet!J314,ROUND((Request!R26/Worksheet!$C$5*Worksheet!$C$9*(IF(Request!$D54=Worksheet!$A$47,Worksheet!J$47,IF(Request!$D54=Worksheet!$A$48,Worksheet!J$48,IF(Request!$D54=Worksheet!$A$49,Worksheet!J$49,IF(Request!$D54=Worksheet!$A$50,Worksheet!J$50,IF(Request!$D54=Worksheet!$A$51,Worksheet!J$51,IF(Request!$D54=Worksheet!$A$52,Worksheet!J$52,IF(Request!$D54=Worksheet!$A$53,Worksheet!J$53,IF(Request!$D54=Worksheet!$A$54,Worksheet!J$54,IF(Request!$D54=Worksheet!$A$55,Worksheet!J$55))))))))))),0)+ROUND(R26/Worksheet!$C$5*Worksheet!$C$10*(IF(Request!$D54=Worksheet!$A$47,Worksheet!K$47,IF(Request!$D54=Worksheet!$A$48,Worksheet!K$48,IF(Request!$D54=Worksheet!$A$49,Worksheet!K$49,IF(Request!$D54=Worksheet!$A$50,Worksheet!K$50,IF(Request!$D54=Worksheet!$A$51,Worksheet!K$51,IF(Request!$D54=Worksheet!$A$52,Worksheet!K$52,IF(Request!$D54=Worksheet!$A$53,Worksheet!K$53,IF(Request!$D54=Worksheet!$A$54,Worksheet!K$54,IF(Request!$D54=Worksheet!$A$55,Worksheet!K$55)))))))))),0)))))))</f>
        <v>0</v>
      </c>
      <c r="S54" s="80">
        <f t="shared" ca="1" si="3"/>
        <v>0</v>
      </c>
      <c r="T54" s="65"/>
      <c r="U54" s="65"/>
      <c r="V54" s="65"/>
      <c r="W54" s="65"/>
      <c r="X54" s="65"/>
    </row>
    <row r="55" spans="1:24" hidden="1">
      <c r="A55" s="162">
        <v>21</v>
      </c>
      <c r="B55" s="257">
        <f t="shared" si="2"/>
        <v>0</v>
      </c>
      <c r="C55" s="233"/>
      <c r="D55" s="179" t="s">
        <v>54</v>
      </c>
      <c r="E55" s="202" t="str">
        <f>IF($D55=Worksheet!$A$59,Worksheet!B$59,IF($D55=Worksheet!$A$60,Worksheet!B$60,IF($D55=Worksheet!$A$61,Worksheet!B$61,IF($D55=Worksheet!$A$62,Worksheet!B$62,IF($D55=Worksheet!$A$63,Worksheet!B$63,IF($D55=Worksheet!$A$64,Worksheet!B$64,IF($D55=Worksheet!$A$65,Worksheet!B$65,IF($D55=Worksheet!$A$66,Worksheet!B$66,IF($D55=Worksheet!$A$67,Worksheet!B$67,IF($D55=Worksheet!$A$68,Worksheet!B289,IF($D55=Worksheet!$A$69,Worksheet!B289,IF($D55=Worksheet!$A$70,Worksheet!B289,IF($D55=Worksheet!$A$71,"")))))))))))))</f>
        <v/>
      </c>
      <c r="F55" s="263" t="str">
        <f>IF($D55=Worksheet!$A$59,Worksheet!C$59,IF($D55=Worksheet!$A$60,Worksheet!C$60,IF($D55=Worksheet!$A$61,Worksheet!C$61,IF($D55=Worksheet!$A$62,Worksheet!C$62,IF($D55=Worksheet!$A$63,Worksheet!C$63,IF($D55=Worksheet!$A$64,Worksheet!C$64,IF($D55=Worksheet!$A$65,Worksheet!C$65,IF($D55=Worksheet!$A$66,Worksheet!C$66,IF($D55=Worksheet!$A$67,Worksheet!C$67,IF($D55=Worksheet!$A$68,Worksheet!D289,IF($D55=Worksheet!$A$69,Worksheet!D289,IF($D55=Worksheet!$A$70,Worksheet!D289,IF($D55=Worksheet!$A$71,"")))))))))))))</f>
        <v/>
      </c>
      <c r="G55" s="264"/>
      <c r="H55" s="277" t="str">
        <f>IF($D55=Worksheet!$A$59,Worksheet!D$59,IF($D55=Worksheet!$A$60,Worksheet!D$60,IF($D55=Worksheet!$A$61,Worksheet!D$61,IF($D55=Worksheet!$A$62,Worksheet!D$62,IF($D55=Worksheet!$A$63,Worksheet!D$63,IF($D55=Worksheet!$A$64,Worksheet!D$64,IF($D55=Worksheet!$A$65,Worksheet!D$65,IF($D55=Worksheet!$A$66,Worksheet!D$66,IF($D55=Worksheet!$A$67,Worksheet!D$67,IF($D55=Worksheet!$A$68,Worksheet!F289,IF($D55=Worksheet!$A$69,Worksheet!F289,IF($D55=Worksheet!$A$70,Worksheet!F289,IF($D55=Worksheet!$A$71,"")))))))))))))</f>
        <v/>
      </c>
      <c r="I55" s="278"/>
      <c r="J55" s="277" t="str">
        <f>IF($D55=Worksheet!$A$59,Worksheet!E$59,IF($D55=Worksheet!$A$60,Worksheet!E$60,IF($D55=Worksheet!$A$61,Worksheet!E$61,IF($D55=Worksheet!$A$62,Worksheet!E$62,IF($D55=Worksheet!$A$63,Worksheet!E$63,IF($D55=Worksheet!$A$64,Worksheet!E$64,IF($D55=Worksheet!$A$65,Worksheet!E$65,IF($D55=Worksheet!$A$66,Worksheet!E$66,IF($D55=Worksheet!$A$67,Worksheet!E$67,IF($D55=Worksheet!$A$68,Worksheet!H289,IF($D55=Worksheet!$A$69,Worksheet!H289,IF($D55=Worksheet!$A$70,Worksheet!H289,IF($D55=Worksheet!$A$71,"")))))))))))))</f>
        <v/>
      </c>
      <c r="K55" s="278"/>
      <c r="L55" s="277" t="str">
        <f>IF($D55=Worksheet!$A$59,Worksheet!F$59,IF($D55=Worksheet!$A$60,Worksheet!F$60,IF($D55=Worksheet!$A$61,Worksheet!F$61,IF($D55=Worksheet!$A$62,Worksheet!F$62,IF($D55=Worksheet!$A$63,Worksheet!F$63,IF($D55=Worksheet!$A$64,Worksheet!F$64,IF($D55=Worksheet!$A$65,Worksheet!F$65,IF($D55=Worksheet!$A$66,Worksheet!F$66,IF($D55=Worksheet!$A$67,Worksheet!F$67,IF($D55=Worksheet!$A$68,Worksheet!J289,IF($D55=Worksheet!$A$69,Worksheet!J289,IF($D55=Worksheet!$A$70,Worksheet!J289,IF($D55=Worksheet!$A$71,"")))))))))))))</f>
        <v/>
      </c>
      <c r="M55" s="278"/>
      <c r="N55" s="80">
        <f ca="1">IF(AND(D55="F-SMRA",N27=0),0,IF(AND(D55="F-SMRB",N27=0),0,IF(AND(D55="F-SMRC",N27=0),0,IF($D55=Worksheet!$A$68,Worksheet!B315,IF($D55=Worksheet!$A$69,Worksheet!B315,IF($D55=Worksheet!$A$70,Worksheet!B315,ROUND((Request!N27/Worksheet!$C$5*Worksheet!$C$9*(IF(Request!$D55=Worksheet!$A$47,Worksheet!B$47,IF(Request!$D55=Worksheet!$A$48,Worksheet!B$48,IF(Request!$D55=Worksheet!$A$49,Worksheet!B$49,IF(Request!$D55=Worksheet!$A$50,Worksheet!B$50,IF(Request!$D55=Worksheet!$A$51,Worksheet!B$51,IF(Request!$D55=Worksheet!$A$52,Worksheet!B$52,IF(Request!$D55=Worksheet!$A$53,Worksheet!B$53,IF(Request!$D55=Worksheet!$A$54,Worksheet!B$54,IF(Request!$D55=Worksheet!$A$55,Worksheet!B$55))))))))))),0)+ROUND(N27/Worksheet!$C$5*Worksheet!$C$10*(IF(Request!$D55=Worksheet!$A$47,Worksheet!C$47,IF(Request!$D55=Worksheet!$A$48,Worksheet!C$48,IF(Request!$D55=Worksheet!$A$49,Worksheet!C$49,IF(Request!$D55=Worksheet!$A$50,Worksheet!C$50,IF(Request!$D55=Worksheet!$A$51,Worksheet!C$51,IF(Request!$D55=Worksheet!$A$52,Worksheet!C$52,IF(Request!$D55=Worksheet!$A$53,Worksheet!C$53,IF(Request!$D55=Worksheet!$A$54,Worksheet!C$54,IF(Request!$D55=Worksheet!$A$55,Worksheet!C$55)))))))))),0)))))))</f>
        <v>0</v>
      </c>
      <c r="O55" s="80">
        <f ca="1">IF(AND($D55="F-SMRA",O27=0),0,IF(AND($D55="F-SMRB",O27=0),0,IF(AND($D55="F-SMRC",O27=0),0,IF($D55=Worksheet!$A$68,Worksheet!D315,IF($D55=Worksheet!$A$69,Worksheet!D315,IF($D55=Worksheet!$A$70,Worksheet!D315,ROUND((Request!O27/Worksheet!$C$5*Worksheet!$C$9*(IF(Request!$D55=Worksheet!$A$47,Worksheet!D$47,IF(Request!$D55=Worksheet!$A$48,Worksheet!D$48,IF(Request!$D55=Worksheet!$A$49,Worksheet!D$49,IF(Request!$D55=Worksheet!$A$50,Worksheet!D$50,IF(Request!$D55=Worksheet!$A$51,Worksheet!D$51,IF(Request!$D55=Worksheet!$A$52,Worksheet!D$52,IF(Request!$D55=Worksheet!$A$53,Worksheet!D$53,IF(Request!$D55=Worksheet!$A$54,Worksheet!D$54,IF(Request!$D55=Worksheet!$A$55,Worksheet!D$55))))))))))),0)+ROUND(O27/Worksheet!$C$5*Worksheet!$C$10*(IF(Request!$D55=Worksheet!$A$47,Worksheet!E$47,IF(Request!$D55=Worksheet!$A$48,Worksheet!E$48,IF(Request!$D55=Worksheet!$A$49,Worksheet!E$49,IF(Request!$D55=Worksheet!$A$50,Worksheet!E$50,IF(Request!$D55=Worksheet!$A$51,Worksheet!E$51,IF(Request!$D55=Worksheet!$A$52,Worksheet!E$52,IF(Request!$D55=Worksheet!$A$53,Worksheet!E$53,IF(Request!$D55=Worksheet!$A$54,Worksheet!E$54,IF(Request!$D55=Worksheet!$A$55,Worksheet!E$55)))))))))),0)))))))</f>
        <v>0</v>
      </c>
      <c r="P55" s="80">
        <f ca="1">IF(AND($D55="F-SMRA",P27=0),0,IF(AND($D55="F-SMRB",P27=0),0,IF(AND($D55="F-SMRC",P27=0),0,IF($D55=Worksheet!$A$68,Worksheet!F315,IF($D55=Worksheet!$A$69,Worksheet!F315,IF($D55=Worksheet!$A$70,Worksheet!F315,ROUND((Request!P27/Worksheet!$C$5*Worksheet!$C$9*(IF(Request!$D55=Worksheet!$A$47,Worksheet!F$47,IF(Request!$D55=Worksheet!$A$48,Worksheet!F$48,IF(Request!$D55=Worksheet!$A$49,Worksheet!F$49,IF(Request!$D55=Worksheet!$A$50,Worksheet!F$50,IF(Request!$D55=Worksheet!$A$51,Worksheet!F$51,IF(Request!$D55=Worksheet!$A$52,Worksheet!F$52,IF(Request!$D55=Worksheet!$A$53,Worksheet!F$53,IF(Request!$D55=Worksheet!$A$54,Worksheet!F$54,IF(Request!$D55=Worksheet!$A$55,Worksheet!F$55))))))))))),0)+ROUND(P27/Worksheet!$C$5*Worksheet!$C$10*(IF(Request!$D55=Worksheet!$A$47,Worksheet!G$47,IF(Request!$D55=Worksheet!$A$48,Worksheet!G$48,IF(Request!$D55=Worksheet!$A$49,Worksheet!G$49,IF(Request!$D55=Worksheet!$A$50,Worksheet!G$50,IF(Request!$D55=Worksheet!$A$51,Worksheet!G$51,IF(Request!$D55=Worksheet!$A$52,Worksheet!G$52,IF(Request!$D55=Worksheet!$A$53,Worksheet!G$53,IF(Request!$D55=Worksheet!$A$54,Worksheet!G$54,IF(Request!$D55=Worksheet!$A$55,Worksheet!G$55)))))))))),0)))))))</f>
        <v>0</v>
      </c>
      <c r="Q55" s="80">
        <f ca="1">IF(AND($D55="F-SMRA",Q27=0),0,IF(AND($D55="F-SMRB",Q27=0),0,IF(AND($D55="F-SMRC",Q27=0),0,IF($D55=Worksheet!$A$68,Worksheet!H315,IF($D55=Worksheet!$A$69,Worksheet!H315,IF($D55=Worksheet!$A$70,Worksheet!H315,ROUND((Request!Q27/Worksheet!$C$5*Worksheet!$C$9*(IF(Request!$D55=Worksheet!$A$47,Worksheet!H$47,IF(Request!$D55=Worksheet!$A$48,Worksheet!H$48,IF(Request!$D55=Worksheet!$A$49,Worksheet!H$49,IF(Request!$D55=Worksheet!$A$50,Worksheet!H$50,IF(Request!$D55=Worksheet!$A$51,Worksheet!H$51,IF(Request!$D55=Worksheet!$A$52,Worksheet!H$52,IF(Request!$D55=Worksheet!$A$53,Worksheet!H$53,IF(Request!$D55=Worksheet!$A$54,Worksheet!H$54,IF(Request!$D55=Worksheet!$A$55,Worksheet!H$55))))))))))),0)+ROUND(Q27/Worksheet!$C$5*Worksheet!$C$10*(IF(Request!$D55=Worksheet!$A$47,Worksheet!I$47,IF(Request!$D55=Worksheet!$A$48,Worksheet!I$48,IF(Request!$D55=Worksheet!$A$49,Worksheet!I$49,IF(Request!$D55=Worksheet!$A$50,Worksheet!I$50,IF(Request!$D55=Worksheet!$A$51,Worksheet!I$51,IF(Request!$D55=Worksheet!$A$52,Worksheet!I$52,IF(Request!$D55=Worksheet!$A$53,Worksheet!I$53,IF(Request!$D55=Worksheet!$A$54,Worksheet!I$54,IF(Request!$D55=Worksheet!$A$55,Worksheet!I$55)))))))))),0)))))))</f>
        <v>0</v>
      </c>
      <c r="R55" s="80">
        <f ca="1">IF(AND($D55="F-SMRA",R27=0),0,IF(AND($D55="F-SMRB",R27=0),0,IF(AND($D55="F-SMRC",R27=0),0,IF($D55=Worksheet!$A$68,Worksheet!J315,IF($D55=Worksheet!$A$69,Worksheet!J315,IF($D55=Worksheet!$A$70,Worksheet!J315,ROUND((Request!R27/Worksheet!$C$5*Worksheet!$C$9*(IF(Request!$D55=Worksheet!$A$47,Worksheet!J$47,IF(Request!$D55=Worksheet!$A$48,Worksheet!J$48,IF(Request!$D55=Worksheet!$A$49,Worksheet!J$49,IF(Request!$D55=Worksheet!$A$50,Worksheet!J$50,IF(Request!$D55=Worksheet!$A$51,Worksheet!J$51,IF(Request!$D55=Worksheet!$A$52,Worksheet!J$52,IF(Request!$D55=Worksheet!$A$53,Worksheet!J$53,IF(Request!$D55=Worksheet!$A$54,Worksheet!J$54,IF(Request!$D55=Worksheet!$A$55,Worksheet!J$55))))))))))),0)+ROUND(R27/Worksheet!$C$5*Worksheet!$C$10*(IF(Request!$D55=Worksheet!$A$47,Worksheet!K$47,IF(Request!$D55=Worksheet!$A$48,Worksheet!K$48,IF(Request!$D55=Worksheet!$A$49,Worksheet!K$49,IF(Request!$D55=Worksheet!$A$50,Worksheet!K$50,IF(Request!$D55=Worksheet!$A$51,Worksheet!K$51,IF(Request!$D55=Worksheet!$A$52,Worksheet!K$52,IF(Request!$D55=Worksheet!$A$53,Worksheet!K$53,IF(Request!$D55=Worksheet!$A$54,Worksheet!K$54,IF(Request!$D55=Worksheet!$A$55,Worksheet!K$55)))))))))),0)))))))</f>
        <v>0</v>
      </c>
      <c r="S55" s="80">
        <f t="shared" ca="1" si="3"/>
        <v>0</v>
      </c>
      <c r="T55" s="65"/>
      <c r="U55" s="65"/>
      <c r="V55" s="65"/>
      <c r="W55" s="65"/>
      <c r="X55" s="65"/>
    </row>
    <row r="56" spans="1:24" hidden="1">
      <c r="A56" s="162">
        <v>22</v>
      </c>
      <c r="B56" s="257">
        <f t="shared" si="2"/>
        <v>0</v>
      </c>
      <c r="C56" s="233"/>
      <c r="D56" s="179" t="s">
        <v>54</v>
      </c>
      <c r="E56" s="202" t="str">
        <f>IF($D56=Worksheet!$A$59,Worksheet!B$59,IF($D56=Worksheet!$A$60,Worksheet!B$60,IF($D56=Worksheet!$A$61,Worksheet!B$61,IF($D56=Worksheet!$A$62,Worksheet!B$62,IF($D56=Worksheet!$A$63,Worksheet!B$63,IF($D56=Worksheet!$A$64,Worksheet!B$64,IF($D56=Worksheet!$A$65,Worksheet!B$65,IF($D56=Worksheet!$A$66,Worksheet!B$66,IF($D56=Worksheet!$A$67,Worksheet!B$67,IF($D56=Worksheet!$A$68,Worksheet!B290,IF($D56=Worksheet!$A$69,Worksheet!B290,IF($D56=Worksheet!$A$70,Worksheet!B290,IF($D56=Worksheet!$A$71,"")))))))))))))</f>
        <v/>
      </c>
      <c r="F56" s="263" t="str">
        <f>IF($D56=Worksheet!$A$59,Worksheet!C$59,IF($D56=Worksheet!$A$60,Worksheet!C$60,IF($D56=Worksheet!$A$61,Worksheet!C$61,IF($D56=Worksheet!$A$62,Worksheet!C$62,IF($D56=Worksheet!$A$63,Worksheet!C$63,IF($D56=Worksheet!$A$64,Worksheet!C$64,IF($D56=Worksheet!$A$65,Worksheet!C$65,IF($D56=Worksheet!$A$66,Worksheet!C$66,IF($D56=Worksheet!$A$67,Worksheet!C$67,IF($D56=Worksheet!$A$68,Worksheet!D290,IF($D56=Worksheet!$A$69,Worksheet!D290,IF($D56=Worksheet!$A$70,Worksheet!D290,IF($D56=Worksheet!$A$71,"")))))))))))))</f>
        <v/>
      </c>
      <c r="G56" s="264"/>
      <c r="H56" s="277" t="str">
        <f>IF($D56=Worksheet!$A$59,Worksheet!D$59,IF($D56=Worksheet!$A$60,Worksheet!D$60,IF($D56=Worksheet!$A$61,Worksheet!D$61,IF($D56=Worksheet!$A$62,Worksheet!D$62,IF($D56=Worksheet!$A$63,Worksheet!D$63,IF($D56=Worksheet!$A$64,Worksheet!D$64,IF($D56=Worksheet!$A$65,Worksheet!D$65,IF($D56=Worksheet!$A$66,Worksheet!D$66,IF($D56=Worksheet!$A$67,Worksheet!D$67,IF($D56=Worksheet!$A$68,Worksheet!F290,IF($D56=Worksheet!$A$69,Worksheet!F290,IF($D56=Worksheet!$A$70,Worksheet!F290,IF($D56=Worksheet!$A$71,"")))))))))))))</f>
        <v/>
      </c>
      <c r="I56" s="278"/>
      <c r="J56" s="277" t="str">
        <f>IF($D56=Worksheet!$A$59,Worksheet!E$59,IF($D56=Worksheet!$A$60,Worksheet!E$60,IF($D56=Worksheet!$A$61,Worksheet!E$61,IF($D56=Worksheet!$A$62,Worksheet!E$62,IF($D56=Worksheet!$A$63,Worksheet!E$63,IF($D56=Worksheet!$A$64,Worksheet!E$64,IF($D56=Worksheet!$A$65,Worksheet!E$65,IF($D56=Worksheet!$A$66,Worksheet!E$66,IF($D56=Worksheet!$A$67,Worksheet!E$67,IF($D56=Worksheet!$A$68,Worksheet!H290,IF($D56=Worksheet!$A$69,Worksheet!H290,IF($D56=Worksheet!$A$70,Worksheet!H290,IF($D56=Worksheet!$A$71,"")))))))))))))</f>
        <v/>
      </c>
      <c r="K56" s="278"/>
      <c r="L56" s="277" t="str">
        <f>IF($D56=Worksheet!$A$59,Worksheet!F$59,IF($D56=Worksheet!$A$60,Worksheet!F$60,IF($D56=Worksheet!$A$61,Worksheet!F$61,IF($D56=Worksheet!$A$62,Worksheet!F$62,IF($D56=Worksheet!$A$63,Worksheet!F$63,IF($D56=Worksheet!$A$64,Worksheet!F$64,IF($D56=Worksheet!$A$65,Worksheet!F$65,IF($D56=Worksheet!$A$66,Worksheet!F$66,IF($D56=Worksheet!$A$67,Worksheet!F$67,IF($D56=Worksheet!$A$68,Worksheet!J290,IF($D56=Worksheet!$A$69,Worksheet!J290,IF($D56=Worksheet!$A$70,Worksheet!J290,IF($D56=Worksheet!$A$71,"")))))))))))))</f>
        <v/>
      </c>
      <c r="M56" s="278"/>
      <c r="N56" s="80">
        <f ca="1">IF(AND(D56="F-SMRA",N28=0),0,IF(AND(D56="F-SMRB",N28=0),0,IF(AND(D56="F-SMRC",N28=0),0,IF($D56=Worksheet!$A$68,Worksheet!B316,IF($D56=Worksheet!$A$69,Worksheet!B316,IF($D56=Worksheet!$A$70,Worksheet!B316,ROUND((Request!N28/Worksheet!$C$5*Worksheet!$C$9*(IF(Request!$D56=Worksheet!$A$47,Worksheet!B$47,IF(Request!$D56=Worksheet!$A$48,Worksheet!B$48,IF(Request!$D56=Worksheet!$A$49,Worksheet!B$49,IF(Request!$D56=Worksheet!$A$50,Worksheet!B$50,IF(Request!$D56=Worksheet!$A$51,Worksheet!B$51,IF(Request!$D56=Worksheet!$A$52,Worksheet!B$52,IF(Request!$D56=Worksheet!$A$53,Worksheet!B$53,IF(Request!$D56=Worksheet!$A$54,Worksheet!B$54,IF(Request!$D56=Worksheet!$A$55,Worksheet!B$55))))))))))),0)+ROUND(N28/Worksheet!$C$5*Worksheet!$C$10*(IF(Request!$D56=Worksheet!$A$47,Worksheet!C$47,IF(Request!$D56=Worksheet!$A$48,Worksheet!C$48,IF(Request!$D56=Worksheet!$A$49,Worksheet!C$49,IF(Request!$D56=Worksheet!$A$50,Worksheet!C$50,IF(Request!$D56=Worksheet!$A$51,Worksheet!C$51,IF(Request!$D56=Worksheet!$A$52,Worksheet!C$52,IF(Request!$D56=Worksheet!$A$53,Worksheet!C$53,IF(Request!$D56=Worksheet!$A$54,Worksheet!C$54,IF(Request!$D56=Worksheet!$A$55,Worksheet!C$55)))))))))),0)))))))</f>
        <v>0</v>
      </c>
      <c r="O56" s="80">
        <f ca="1">IF(AND($D56="F-SMRA",O28=0),0,IF(AND($D56="F-SMRB",O28=0),0,IF(AND($D56="F-SMRC",O28=0),0,IF($D56=Worksheet!$A$68,Worksheet!D316,IF($D56=Worksheet!$A$69,Worksheet!D316,IF($D56=Worksheet!$A$70,Worksheet!D316,ROUND((Request!O28/Worksheet!$C$5*Worksheet!$C$9*(IF(Request!$D56=Worksheet!$A$47,Worksheet!D$47,IF(Request!$D56=Worksheet!$A$48,Worksheet!D$48,IF(Request!$D56=Worksheet!$A$49,Worksheet!D$49,IF(Request!$D56=Worksheet!$A$50,Worksheet!D$50,IF(Request!$D56=Worksheet!$A$51,Worksheet!D$51,IF(Request!$D56=Worksheet!$A$52,Worksheet!D$52,IF(Request!$D56=Worksheet!$A$53,Worksheet!D$53,IF(Request!$D56=Worksheet!$A$54,Worksheet!D$54,IF(Request!$D56=Worksheet!$A$55,Worksheet!D$55))))))))))),0)+ROUND(O28/Worksheet!$C$5*Worksheet!$C$10*(IF(Request!$D56=Worksheet!$A$47,Worksheet!E$47,IF(Request!$D56=Worksheet!$A$48,Worksheet!E$48,IF(Request!$D56=Worksheet!$A$49,Worksheet!E$49,IF(Request!$D56=Worksheet!$A$50,Worksheet!E$50,IF(Request!$D56=Worksheet!$A$51,Worksheet!E$51,IF(Request!$D56=Worksheet!$A$52,Worksheet!E$52,IF(Request!$D56=Worksheet!$A$53,Worksheet!E$53,IF(Request!$D56=Worksheet!$A$54,Worksheet!E$54,IF(Request!$D56=Worksheet!$A$55,Worksheet!E$55)))))))))),0)))))))</f>
        <v>0</v>
      </c>
      <c r="P56" s="80">
        <f ca="1">IF(AND($D56="F-SMRA",P28=0),0,IF(AND($D56="F-SMRB",P28=0),0,IF(AND($D56="F-SMRC",P28=0),0,IF($D56=Worksheet!$A$68,Worksheet!F316,IF($D56=Worksheet!$A$69,Worksheet!F316,IF($D56=Worksheet!$A$70,Worksheet!F316,ROUND((Request!P28/Worksheet!$C$5*Worksheet!$C$9*(IF(Request!$D56=Worksheet!$A$47,Worksheet!F$47,IF(Request!$D56=Worksheet!$A$48,Worksheet!F$48,IF(Request!$D56=Worksheet!$A$49,Worksheet!F$49,IF(Request!$D56=Worksheet!$A$50,Worksheet!F$50,IF(Request!$D56=Worksheet!$A$51,Worksheet!F$51,IF(Request!$D56=Worksheet!$A$52,Worksheet!F$52,IF(Request!$D56=Worksheet!$A$53,Worksheet!F$53,IF(Request!$D56=Worksheet!$A$54,Worksheet!F$54,IF(Request!$D56=Worksheet!$A$55,Worksheet!F$55))))))))))),0)+ROUND(P28/Worksheet!$C$5*Worksheet!$C$10*(IF(Request!$D56=Worksheet!$A$47,Worksheet!G$47,IF(Request!$D56=Worksheet!$A$48,Worksheet!G$48,IF(Request!$D56=Worksheet!$A$49,Worksheet!G$49,IF(Request!$D56=Worksheet!$A$50,Worksheet!G$50,IF(Request!$D56=Worksheet!$A$51,Worksheet!G$51,IF(Request!$D56=Worksheet!$A$52,Worksheet!G$52,IF(Request!$D56=Worksheet!$A$53,Worksheet!G$53,IF(Request!$D56=Worksheet!$A$54,Worksheet!G$54,IF(Request!$D56=Worksheet!$A$55,Worksheet!G$55)))))))))),0)))))))</f>
        <v>0</v>
      </c>
      <c r="Q56" s="80">
        <f ca="1">IF(AND($D56="F-SMRA",Q28=0),0,IF(AND($D56="F-SMRB",Q28=0),0,IF(AND($D56="F-SMRC",Q28=0),0,IF($D56=Worksheet!$A$68,Worksheet!H316,IF($D56=Worksheet!$A$69,Worksheet!H316,IF($D56=Worksheet!$A$70,Worksheet!H316,ROUND((Request!Q28/Worksheet!$C$5*Worksheet!$C$9*(IF(Request!$D56=Worksheet!$A$47,Worksheet!H$47,IF(Request!$D56=Worksheet!$A$48,Worksheet!H$48,IF(Request!$D56=Worksheet!$A$49,Worksheet!H$49,IF(Request!$D56=Worksheet!$A$50,Worksheet!H$50,IF(Request!$D56=Worksheet!$A$51,Worksheet!H$51,IF(Request!$D56=Worksheet!$A$52,Worksheet!H$52,IF(Request!$D56=Worksheet!$A$53,Worksheet!H$53,IF(Request!$D56=Worksheet!$A$54,Worksheet!H$54,IF(Request!$D56=Worksheet!$A$55,Worksheet!H$55))))))))))),0)+ROUND(Q28/Worksheet!$C$5*Worksheet!$C$10*(IF(Request!$D56=Worksheet!$A$47,Worksheet!I$47,IF(Request!$D56=Worksheet!$A$48,Worksheet!I$48,IF(Request!$D56=Worksheet!$A$49,Worksheet!I$49,IF(Request!$D56=Worksheet!$A$50,Worksheet!I$50,IF(Request!$D56=Worksheet!$A$51,Worksheet!I$51,IF(Request!$D56=Worksheet!$A$52,Worksheet!I$52,IF(Request!$D56=Worksheet!$A$53,Worksheet!I$53,IF(Request!$D56=Worksheet!$A$54,Worksheet!I$54,IF(Request!$D56=Worksheet!$A$55,Worksheet!I$55)))))))))),0)))))))</f>
        <v>0</v>
      </c>
      <c r="R56" s="80">
        <f ca="1">IF(AND($D56="F-SMRA",R28=0),0,IF(AND($D56="F-SMRB",R28=0),0,IF(AND($D56="F-SMRC",R28=0),0,IF($D56=Worksheet!$A$68,Worksheet!J316,IF($D56=Worksheet!$A$69,Worksheet!J316,IF($D56=Worksheet!$A$70,Worksheet!J316,ROUND((Request!R28/Worksheet!$C$5*Worksheet!$C$9*(IF(Request!$D56=Worksheet!$A$47,Worksheet!J$47,IF(Request!$D56=Worksheet!$A$48,Worksheet!J$48,IF(Request!$D56=Worksheet!$A$49,Worksheet!J$49,IF(Request!$D56=Worksheet!$A$50,Worksheet!J$50,IF(Request!$D56=Worksheet!$A$51,Worksheet!J$51,IF(Request!$D56=Worksheet!$A$52,Worksheet!J$52,IF(Request!$D56=Worksheet!$A$53,Worksheet!J$53,IF(Request!$D56=Worksheet!$A$54,Worksheet!J$54,IF(Request!$D56=Worksheet!$A$55,Worksheet!J$55))))))))))),0)+ROUND(R28/Worksheet!$C$5*Worksheet!$C$10*(IF(Request!$D56=Worksheet!$A$47,Worksheet!K$47,IF(Request!$D56=Worksheet!$A$48,Worksheet!K$48,IF(Request!$D56=Worksheet!$A$49,Worksheet!K$49,IF(Request!$D56=Worksheet!$A$50,Worksheet!K$50,IF(Request!$D56=Worksheet!$A$51,Worksheet!K$51,IF(Request!$D56=Worksheet!$A$52,Worksheet!K$52,IF(Request!$D56=Worksheet!$A$53,Worksheet!K$53,IF(Request!$D56=Worksheet!$A$54,Worksheet!K$54,IF(Request!$D56=Worksheet!$A$55,Worksheet!K$55)))))))))),0)))))))</f>
        <v>0</v>
      </c>
      <c r="S56" s="80">
        <f t="shared" ca="1" si="3"/>
        <v>0</v>
      </c>
      <c r="T56" s="65"/>
      <c r="U56" s="65"/>
      <c r="V56" s="65"/>
      <c r="W56" s="65"/>
      <c r="X56" s="65"/>
    </row>
    <row r="57" spans="1:24" hidden="1">
      <c r="A57" s="162">
        <v>23</v>
      </c>
      <c r="B57" s="257">
        <f t="shared" si="2"/>
        <v>0</v>
      </c>
      <c r="C57" s="233"/>
      <c r="D57" s="179" t="s">
        <v>54</v>
      </c>
      <c r="E57" s="202" t="str">
        <f>IF($D57=Worksheet!$A$59,Worksheet!B$59,IF($D57=Worksheet!$A$60,Worksheet!B$60,IF($D57=Worksheet!$A$61,Worksheet!B$61,IF($D57=Worksheet!$A$62,Worksheet!B$62,IF($D57=Worksheet!$A$63,Worksheet!B$63,IF($D57=Worksheet!$A$64,Worksheet!B$64,IF($D57=Worksheet!$A$65,Worksheet!B$65,IF($D57=Worksheet!$A$66,Worksheet!B$66,IF($D57=Worksheet!$A$67,Worksheet!B$67,IF($D57=Worksheet!$A$68,Worksheet!B291,IF($D57=Worksheet!$A$69,Worksheet!B291,IF($D57=Worksheet!$A$70,Worksheet!B291,IF($D57=Worksheet!$A$71,"")))))))))))))</f>
        <v/>
      </c>
      <c r="F57" s="263" t="str">
        <f>IF($D57=Worksheet!$A$59,Worksheet!C$59,IF($D57=Worksheet!$A$60,Worksheet!C$60,IF($D57=Worksheet!$A$61,Worksheet!C$61,IF($D57=Worksheet!$A$62,Worksheet!C$62,IF($D57=Worksheet!$A$63,Worksheet!C$63,IF($D57=Worksheet!$A$64,Worksheet!C$64,IF($D57=Worksheet!$A$65,Worksheet!C$65,IF($D57=Worksheet!$A$66,Worksheet!C$66,IF($D57=Worksheet!$A$67,Worksheet!C$67,IF($D57=Worksheet!$A$68,Worksheet!D291,IF($D57=Worksheet!$A$69,Worksheet!D291,IF($D57=Worksheet!$A$70,Worksheet!D291,IF($D57=Worksheet!$A$71,"")))))))))))))</f>
        <v/>
      </c>
      <c r="G57" s="264"/>
      <c r="H57" s="277" t="str">
        <f>IF($D57=Worksheet!$A$59,Worksheet!D$59,IF($D57=Worksheet!$A$60,Worksheet!D$60,IF($D57=Worksheet!$A$61,Worksheet!D$61,IF($D57=Worksheet!$A$62,Worksheet!D$62,IF($D57=Worksheet!$A$63,Worksheet!D$63,IF($D57=Worksheet!$A$64,Worksheet!D$64,IF($D57=Worksheet!$A$65,Worksheet!D$65,IF($D57=Worksheet!$A$66,Worksheet!D$66,IF($D57=Worksheet!$A$67,Worksheet!D$67,IF($D57=Worksheet!$A$68,Worksheet!F291,IF($D57=Worksheet!$A$69,Worksheet!F291,IF($D57=Worksheet!$A$70,Worksheet!F291,IF($D57=Worksheet!$A$71,"")))))))))))))</f>
        <v/>
      </c>
      <c r="I57" s="278"/>
      <c r="J57" s="277" t="str">
        <f>IF($D57=Worksheet!$A$59,Worksheet!E$59,IF($D57=Worksheet!$A$60,Worksheet!E$60,IF($D57=Worksheet!$A$61,Worksheet!E$61,IF($D57=Worksheet!$A$62,Worksheet!E$62,IF($D57=Worksheet!$A$63,Worksheet!E$63,IF($D57=Worksheet!$A$64,Worksheet!E$64,IF($D57=Worksheet!$A$65,Worksheet!E$65,IF($D57=Worksheet!$A$66,Worksheet!E$66,IF($D57=Worksheet!$A$67,Worksheet!E$67,IF($D57=Worksheet!$A$68,Worksheet!H291,IF($D57=Worksheet!$A$69,Worksheet!H291,IF($D57=Worksheet!$A$70,Worksheet!H291,IF($D57=Worksheet!$A$71,"")))))))))))))</f>
        <v/>
      </c>
      <c r="K57" s="278"/>
      <c r="L57" s="277" t="str">
        <f>IF($D57=Worksheet!$A$59,Worksheet!F$59,IF($D57=Worksheet!$A$60,Worksheet!F$60,IF($D57=Worksheet!$A$61,Worksheet!F$61,IF($D57=Worksheet!$A$62,Worksheet!F$62,IF($D57=Worksheet!$A$63,Worksheet!F$63,IF($D57=Worksheet!$A$64,Worksheet!F$64,IF($D57=Worksheet!$A$65,Worksheet!F$65,IF($D57=Worksheet!$A$66,Worksheet!F$66,IF($D57=Worksheet!$A$67,Worksheet!F$67,IF($D57=Worksheet!$A$68,Worksheet!J291,IF($D57=Worksheet!$A$69,Worksheet!J291,IF($D57=Worksheet!$A$70,Worksheet!J291,IF($D57=Worksheet!$A$71,"")))))))))))))</f>
        <v/>
      </c>
      <c r="M57" s="278"/>
      <c r="N57" s="80">
        <f ca="1">IF(AND(D57="F-SMRA",N29=0),0,IF(AND(D57="F-SMRB",N29=0),0,IF(AND(D57="F-SMRC",N29=0),0,IF($D57=Worksheet!$A$68,Worksheet!B317,IF($D57=Worksheet!$A$69,Worksheet!B317,IF($D57=Worksheet!$A$70,Worksheet!B317,ROUND((Request!N29/Worksheet!$C$5*Worksheet!$C$9*(IF(Request!$D57=Worksheet!$A$47,Worksheet!B$47,IF(Request!$D57=Worksheet!$A$48,Worksheet!B$48,IF(Request!$D57=Worksheet!$A$49,Worksheet!B$49,IF(Request!$D57=Worksheet!$A$50,Worksheet!B$50,IF(Request!$D57=Worksheet!$A$51,Worksheet!B$51,IF(Request!$D57=Worksheet!$A$52,Worksheet!B$52,IF(Request!$D57=Worksheet!$A$53,Worksheet!B$53,IF(Request!$D57=Worksheet!$A$54,Worksheet!B$54,IF(Request!$D57=Worksheet!$A$55,Worksheet!B$55))))))))))),0)+ROUND(N29/Worksheet!$C$5*Worksheet!$C$10*(IF(Request!$D57=Worksheet!$A$47,Worksheet!C$47,IF(Request!$D57=Worksheet!$A$48,Worksheet!C$48,IF(Request!$D57=Worksheet!$A$49,Worksheet!C$49,IF(Request!$D57=Worksheet!$A$50,Worksheet!C$50,IF(Request!$D57=Worksheet!$A$51,Worksheet!C$51,IF(Request!$D57=Worksheet!$A$52,Worksheet!C$52,IF(Request!$D57=Worksheet!$A$53,Worksheet!C$53,IF(Request!$D57=Worksheet!$A$54,Worksheet!C$54,IF(Request!$D57=Worksheet!$A$55,Worksheet!C$55)))))))))),0)))))))</f>
        <v>0</v>
      </c>
      <c r="O57" s="80">
        <f ca="1">IF(AND($D57="F-SMRA",O29=0),0,IF(AND($D57="F-SMRB",O29=0),0,IF(AND($D57="F-SMRC",O29=0),0,IF($D57=Worksheet!$A$68,Worksheet!D317,IF($D57=Worksheet!$A$69,Worksheet!D317,IF($D57=Worksheet!$A$70,Worksheet!D317,ROUND((Request!O29/Worksheet!$C$5*Worksheet!$C$9*(IF(Request!$D57=Worksheet!$A$47,Worksheet!D$47,IF(Request!$D57=Worksheet!$A$48,Worksheet!D$48,IF(Request!$D57=Worksheet!$A$49,Worksheet!D$49,IF(Request!$D57=Worksheet!$A$50,Worksheet!D$50,IF(Request!$D57=Worksheet!$A$51,Worksheet!D$51,IF(Request!$D57=Worksheet!$A$52,Worksheet!D$52,IF(Request!$D57=Worksheet!$A$53,Worksheet!D$53,IF(Request!$D57=Worksheet!$A$54,Worksheet!D$54,IF(Request!$D57=Worksheet!$A$55,Worksheet!D$55))))))))))),0)+ROUND(O29/Worksheet!$C$5*Worksheet!$C$10*(IF(Request!$D57=Worksheet!$A$47,Worksheet!E$47,IF(Request!$D57=Worksheet!$A$48,Worksheet!E$48,IF(Request!$D57=Worksheet!$A$49,Worksheet!E$49,IF(Request!$D57=Worksheet!$A$50,Worksheet!E$50,IF(Request!$D57=Worksheet!$A$51,Worksheet!E$51,IF(Request!$D57=Worksheet!$A$52,Worksheet!E$52,IF(Request!$D57=Worksheet!$A$53,Worksheet!E$53,IF(Request!$D57=Worksheet!$A$54,Worksheet!E$54,IF(Request!$D57=Worksheet!$A$55,Worksheet!E$55)))))))))),0)))))))</f>
        <v>0</v>
      </c>
      <c r="P57" s="80">
        <f ca="1">IF(AND($D57="F-SMRA",P29=0),0,IF(AND($D57="F-SMRB",P29=0),0,IF(AND($D57="F-SMRC",P29=0),0,IF($D57=Worksheet!$A$68,Worksheet!F317,IF($D57=Worksheet!$A$69,Worksheet!F317,IF($D57=Worksheet!$A$70,Worksheet!F317,ROUND((Request!P29/Worksheet!$C$5*Worksheet!$C$9*(IF(Request!$D57=Worksheet!$A$47,Worksheet!F$47,IF(Request!$D57=Worksheet!$A$48,Worksheet!F$48,IF(Request!$D57=Worksheet!$A$49,Worksheet!F$49,IF(Request!$D57=Worksheet!$A$50,Worksheet!F$50,IF(Request!$D57=Worksheet!$A$51,Worksheet!F$51,IF(Request!$D57=Worksheet!$A$52,Worksheet!F$52,IF(Request!$D57=Worksheet!$A$53,Worksheet!F$53,IF(Request!$D57=Worksheet!$A$54,Worksheet!F$54,IF(Request!$D57=Worksheet!$A$55,Worksheet!F$55))))))))))),0)+ROUND(P29/Worksheet!$C$5*Worksheet!$C$10*(IF(Request!$D57=Worksheet!$A$47,Worksheet!G$47,IF(Request!$D57=Worksheet!$A$48,Worksheet!G$48,IF(Request!$D57=Worksheet!$A$49,Worksheet!G$49,IF(Request!$D57=Worksheet!$A$50,Worksheet!G$50,IF(Request!$D57=Worksheet!$A$51,Worksheet!G$51,IF(Request!$D57=Worksheet!$A$52,Worksheet!G$52,IF(Request!$D57=Worksheet!$A$53,Worksheet!G$53,IF(Request!$D57=Worksheet!$A$54,Worksheet!G$54,IF(Request!$D57=Worksheet!$A$55,Worksheet!G$55)))))))))),0)))))))</f>
        <v>0</v>
      </c>
      <c r="Q57" s="80">
        <f ca="1">IF(AND($D57="F-SMRA",Q29=0),0,IF(AND($D57="F-SMRB",Q29=0),0,IF(AND($D57="F-SMRC",Q29=0),0,IF($D57=Worksheet!$A$68,Worksheet!H317,IF($D57=Worksheet!$A$69,Worksheet!H317,IF($D57=Worksheet!$A$70,Worksheet!H317,ROUND((Request!Q29/Worksheet!$C$5*Worksheet!$C$9*(IF(Request!$D57=Worksheet!$A$47,Worksheet!H$47,IF(Request!$D57=Worksheet!$A$48,Worksheet!H$48,IF(Request!$D57=Worksheet!$A$49,Worksheet!H$49,IF(Request!$D57=Worksheet!$A$50,Worksheet!H$50,IF(Request!$D57=Worksheet!$A$51,Worksheet!H$51,IF(Request!$D57=Worksheet!$A$52,Worksheet!H$52,IF(Request!$D57=Worksheet!$A$53,Worksheet!H$53,IF(Request!$D57=Worksheet!$A$54,Worksheet!H$54,IF(Request!$D57=Worksheet!$A$55,Worksheet!H$55))))))))))),0)+ROUND(Q29/Worksheet!$C$5*Worksheet!$C$10*(IF(Request!$D57=Worksheet!$A$47,Worksheet!I$47,IF(Request!$D57=Worksheet!$A$48,Worksheet!I$48,IF(Request!$D57=Worksheet!$A$49,Worksheet!I$49,IF(Request!$D57=Worksheet!$A$50,Worksheet!I$50,IF(Request!$D57=Worksheet!$A$51,Worksheet!I$51,IF(Request!$D57=Worksheet!$A$52,Worksheet!I$52,IF(Request!$D57=Worksheet!$A$53,Worksheet!I$53,IF(Request!$D57=Worksheet!$A$54,Worksheet!I$54,IF(Request!$D57=Worksheet!$A$55,Worksheet!I$55)))))))))),0)))))))</f>
        <v>0</v>
      </c>
      <c r="R57" s="80">
        <f ca="1">IF(AND($D57="F-SMRA",R29=0),0,IF(AND($D57="F-SMRB",R29=0),0,IF(AND($D57="F-SMRC",R29=0),0,IF($D57=Worksheet!$A$68,Worksheet!J317,IF($D57=Worksheet!$A$69,Worksheet!J317,IF($D57=Worksheet!$A$70,Worksheet!J317,ROUND((Request!R29/Worksheet!$C$5*Worksheet!$C$9*(IF(Request!$D57=Worksheet!$A$47,Worksheet!J$47,IF(Request!$D57=Worksheet!$A$48,Worksheet!J$48,IF(Request!$D57=Worksheet!$A$49,Worksheet!J$49,IF(Request!$D57=Worksheet!$A$50,Worksheet!J$50,IF(Request!$D57=Worksheet!$A$51,Worksheet!J$51,IF(Request!$D57=Worksheet!$A$52,Worksheet!J$52,IF(Request!$D57=Worksheet!$A$53,Worksheet!J$53,IF(Request!$D57=Worksheet!$A$54,Worksheet!J$54,IF(Request!$D57=Worksheet!$A$55,Worksheet!J$55))))))))))),0)+ROUND(R29/Worksheet!$C$5*Worksheet!$C$10*(IF(Request!$D57=Worksheet!$A$47,Worksheet!K$47,IF(Request!$D57=Worksheet!$A$48,Worksheet!K$48,IF(Request!$D57=Worksheet!$A$49,Worksheet!K$49,IF(Request!$D57=Worksheet!$A$50,Worksheet!K$50,IF(Request!$D57=Worksheet!$A$51,Worksheet!K$51,IF(Request!$D57=Worksheet!$A$52,Worksheet!K$52,IF(Request!$D57=Worksheet!$A$53,Worksheet!K$53,IF(Request!$D57=Worksheet!$A$54,Worksheet!K$54,IF(Request!$D57=Worksheet!$A$55,Worksheet!K$55)))))))))),0)))))))</f>
        <v>0</v>
      </c>
      <c r="S57" s="80">
        <f t="shared" ca="1" si="3"/>
        <v>0</v>
      </c>
      <c r="T57" s="65"/>
      <c r="U57" s="65"/>
      <c r="V57" s="65"/>
      <c r="W57" s="65"/>
      <c r="X57" s="65"/>
    </row>
    <row r="58" spans="1:24" hidden="1">
      <c r="A58" s="162">
        <v>24</v>
      </c>
      <c r="B58" s="257">
        <f t="shared" si="2"/>
        <v>0</v>
      </c>
      <c r="C58" s="233"/>
      <c r="D58" s="180" t="s">
        <v>54</v>
      </c>
      <c r="E58" s="202" t="str">
        <f>IF($D58=Worksheet!$A$59,Worksheet!B$59,IF($D58=Worksheet!$A$60,Worksheet!B$60,IF($D58=Worksheet!$A$61,Worksheet!B$61,IF($D58=Worksheet!$A$62,Worksheet!B$62,IF($D58=Worksheet!$A$63,Worksheet!B$63,IF($D58=Worksheet!$A$64,Worksheet!B$64,IF($D58=Worksheet!$A$65,Worksheet!B$65,IF($D58=Worksheet!$A$66,Worksheet!B$66,IF($D58=Worksheet!$A$67,Worksheet!B$67,IF($D58=Worksheet!$A$68,Worksheet!B292,IF($D58=Worksheet!$A$69,Worksheet!B292,IF($D58=Worksheet!$A$70,Worksheet!B292,IF($D58=Worksheet!$A$71,"")))))))))))))</f>
        <v/>
      </c>
      <c r="F58" s="263" t="str">
        <f>IF($D58=Worksheet!$A$59,Worksheet!C$59,IF($D58=Worksheet!$A$60,Worksheet!C$60,IF($D58=Worksheet!$A$61,Worksheet!C$61,IF($D58=Worksheet!$A$62,Worksheet!C$62,IF($D58=Worksheet!$A$63,Worksheet!C$63,IF($D58=Worksheet!$A$64,Worksheet!C$64,IF($D58=Worksheet!$A$65,Worksheet!C$65,IF($D58=Worksheet!$A$66,Worksheet!C$66,IF($D58=Worksheet!$A$67,Worksheet!C$67,IF($D58=Worksheet!$A$68,Worksheet!D292,IF($D58=Worksheet!$A$69,Worksheet!D292,IF($D58=Worksheet!$A$70,Worksheet!D292,IF($D58=Worksheet!$A$71,"")))))))))))))</f>
        <v/>
      </c>
      <c r="G58" s="264"/>
      <c r="H58" s="277" t="str">
        <f>IF($D58=Worksheet!$A$59,Worksheet!D$59,IF($D58=Worksheet!$A$60,Worksheet!D$60,IF($D58=Worksheet!$A$61,Worksheet!D$61,IF($D58=Worksheet!$A$62,Worksheet!D$62,IF($D58=Worksheet!$A$63,Worksheet!D$63,IF($D58=Worksheet!$A$64,Worksheet!D$64,IF($D58=Worksheet!$A$65,Worksheet!D$65,IF($D58=Worksheet!$A$66,Worksheet!D$66,IF($D58=Worksheet!$A$67,Worksheet!D$67,IF($D58=Worksheet!$A$68,Worksheet!F292,IF($D58=Worksheet!$A$69,Worksheet!F292,IF($D58=Worksheet!$A$70,Worksheet!F292,IF($D58=Worksheet!$A$71,"")))))))))))))</f>
        <v/>
      </c>
      <c r="I58" s="278"/>
      <c r="J58" s="277" t="str">
        <f>IF($D58=Worksheet!$A$59,Worksheet!E$59,IF($D58=Worksheet!$A$60,Worksheet!E$60,IF($D58=Worksheet!$A$61,Worksheet!E$61,IF($D58=Worksheet!$A$62,Worksheet!E$62,IF($D58=Worksheet!$A$63,Worksheet!E$63,IF($D58=Worksheet!$A$64,Worksheet!E$64,IF($D58=Worksheet!$A$65,Worksheet!E$65,IF($D58=Worksheet!$A$66,Worksheet!E$66,IF($D58=Worksheet!$A$67,Worksheet!E$67,IF($D58=Worksheet!$A$68,Worksheet!H292,IF($D58=Worksheet!$A$69,Worksheet!H292,IF($D58=Worksheet!$A$70,Worksheet!H292,IF($D58=Worksheet!$A$71,"")))))))))))))</f>
        <v/>
      </c>
      <c r="K58" s="278"/>
      <c r="L58" s="277" t="str">
        <f>IF($D58=Worksheet!$A$59,Worksheet!F$59,IF($D58=Worksheet!$A$60,Worksheet!F$60,IF($D58=Worksheet!$A$61,Worksheet!F$61,IF($D58=Worksheet!$A$62,Worksheet!F$62,IF($D58=Worksheet!$A$63,Worksheet!F$63,IF($D58=Worksheet!$A$64,Worksheet!F$64,IF($D58=Worksheet!$A$65,Worksheet!F$65,IF($D58=Worksheet!$A$66,Worksheet!F$66,IF($D58=Worksheet!$A$67,Worksheet!F$67,IF($D58=Worksheet!$A$68,Worksheet!J292,IF($D58=Worksheet!$A$69,Worksheet!J292,IF($D58=Worksheet!$A$70,Worksheet!J292,IF($D58=Worksheet!$A$71,"")))))))))))))</f>
        <v/>
      </c>
      <c r="M58" s="278"/>
      <c r="N58" s="80">
        <f ca="1">IF(AND(D58="F-SMRA",N30=0),0,IF(AND(D58="F-SMRB",N30=0),0,IF(AND(D58="F-SMRC",N30=0),0,IF($D58=Worksheet!$A$68,Worksheet!B318,IF($D58=Worksheet!$A$69,Worksheet!B318,IF($D58=Worksheet!$A$70,Worksheet!B318,ROUND((Request!N30/Worksheet!$C$5*Worksheet!$C$9*(IF(Request!$D58=Worksheet!$A$47,Worksheet!B$47,IF(Request!$D58=Worksheet!$A$48,Worksheet!B$48,IF(Request!$D58=Worksheet!$A$49,Worksheet!B$49,IF(Request!$D58=Worksheet!$A$50,Worksheet!B$50,IF(Request!$D58=Worksheet!$A$51,Worksheet!B$51,IF(Request!$D58=Worksheet!$A$52,Worksheet!B$52,IF(Request!$D58=Worksheet!$A$53,Worksheet!B$53,IF(Request!$D58=Worksheet!$A$54,Worksheet!B$54,IF(Request!$D58=Worksheet!$A$55,Worksheet!B$55))))))))))),0)+ROUND(N30/Worksheet!$C$5*Worksheet!$C$10*(IF(Request!$D58=Worksheet!$A$47,Worksheet!C$47,IF(Request!$D58=Worksheet!$A$48,Worksheet!C$48,IF(Request!$D58=Worksheet!$A$49,Worksheet!C$49,IF(Request!$D58=Worksheet!$A$50,Worksheet!C$50,IF(Request!$D58=Worksheet!$A$51,Worksheet!C$51,IF(Request!$D58=Worksheet!$A$52,Worksheet!C$52,IF(Request!$D58=Worksheet!$A$53,Worksheet!C$53,IF(Request!$D58=Worksheet!$A$54,Worksheet!C$54,IF(Request!$D58=Worksheet!$A$55,Worksheet!C$55)))))))))),0)))))))</f>
        <v>0</v>
      </c>
      <c r="O58" s="80">
        <f ca="1">IF(AND($D58="F-SMRA",O30=0),0,IF(AND($D58="F-SMRB",O30=0),0,IF(AND($D58="F-SMRC",O30=0),0,IF($D58=Worksheet!$A$68,Worksheet!D318,IF($D58=Worksheet!$A$69,Worksheet!D318,IF($D58=Worksheet!$A$70,Worksheet!D318,ROUND((Request!O30/Worksheet!$C$5*Worksheet!$C$9*(IF(Request!$D58=Worksheet!$A$47,Worksheet!D$47,IF(Request!$D58=Worksheet!$A$48,Worksheet!D$48,IF(Request!$D58=Worksheet!$A$49,Worksheet!D$49,IF(Request!$D58=Worksheet!$A$50,Worksheet!D$50,IF(Request!$D58=Worksheet!$A$51,Worksheet!D$51,IF(Request!$D58=Worksheet!$A$52,Worksheet!D$52,IF(Request!$D58=Worksheet!$A$53,Worksheet!D$53,IF(Request!$D58=Worksheet!$A$54,Worksheet!D$54,IF(Request!$D58=Worksheet!$A$55,Worksheet!D$55))))))))))),0)+ROUND(O30/Worksheet!$C$5*Worksheet!$C$10*(IF(Request!$D58=Worksheet!$A$47,Worksheet!E$47,IF(Request!$D58=Worksheet!$A$48,Worksheet!E$48,IF(Request!$D58=Worksheet!$A$49,Worksheet!E$49,IF(Request!$D58=Worksheet!$A$50,Worksheet!E$50,IF(Request!$D58=Worksheet!$A$51,Worksheet!E$51,IF(Request!$D58=Worksheet!$A$52,Worksheet!E$52,IF(Request!$D58=Worksheet!$A$53,Worksheet!E$53,IF(Request!$D58=Worksheet!$A$54,Worksheet!E$54,IF(Request!$D58=Worksheet!$A$55,Worksheet!E$55)))))))))),0)))))))</f>
        <v>0</v>
      </c>
      <c r="P58" s="80">
        <f ca="1">IF(AND($D58="F-SMRA",P30=0),0,IF(AND($D58="F-SMRB",P30=0),0,IF(AND($D58="F-SMRC",P30=0),0,IF($D58=Worksheet!$A$68,Worksheet!F318,IF($D58=Worksheet!$A$69,Worksheet!F318,IF($D58=Worksheet!$A$70,Worksheet!F318,ROUND((Request!P30/Worksheet!$C$5*Worksheet!$C$9*(IF(Request!$D58=Worksheet!$A$47,Worksheet!F$47,IF(Request!$D58=Worksheet!$A$48,Worksheet!F$48,IF(Request!$D58=Worksheet!$A$49,Worksheet!F$49,IF(Request!$D58=Worksheet!$A$50,Worksheet!F$50,IF(Request!$D58=Worksheet!$A$51,Worksheet!F$51,IF(Request!$D58=Worksheet!$A$52,Worksheet!F$52,IF(Request!$D58=Worksheet!$A$53,Worksheet!F$53,IF(Request!$D58=Worksheet!$A$54,Worksheet!F$54,IF(Request!$D58=Worksheet!$A$55,Worksheet!F$55))))))))))),0)+ROUND(P30/Worksheet!$C$5*Worksheet!$C$10*(IF(Request!$D58=Worksheet!$A$47,Worksheet!G$47,IF(Request!$D58=Worksheet!$A$48,Worksheet!G$48,IF(Request!$D58=Worksheet!$A$49,Worksheet!G$49,IF(Request!$D58=Worksheet!$A$50,Worksheet!G$50,IF(Request!$D58=Worksheet!$A$51,Worksheet!G$51,IF(Request!$D58=Worksheet!$A$52,Worksheet!G$52,IF(Request!$D58=Worksheet!$A$53,Worksheet!G$53,IF(Request!$D58=Worksheet!$A$54,Worksheet!G$54,IF(Request!$D58=Worksheet!$A$55,Worksheet!G$55)))))))))),0)))))))</f>
        <v>0</v>
      </c>
      <c r="Q58" s="80">
        <f ca="1">IF(AND($D58="F-SMRA",Q30=0),0,IF(AND($D58="F-SMRB",Q30=0),0,IF(AND($D58="F-SMRC",Q30=0),0,IF($D58=Worksheet!$A$68,Worksheet!H318,IF($D58=Worksheet!$A$69,Worksheet!H318,IF($D58=Worksheet!$A$70,Worksheet!H318,ROUND((Request!Q30/Worksheet!$C$5*Worksheet!$C$9*(IF(Request!$D58=Worksheet!$A$47,Worksheet!H$47,IF(Request!$D58=Worksheet!$A$48,Worksheet!H$48,IF(Request!$D58=Worksheet!$A$49,Worksheet!H$49,IF(Request!$D58=Worksheet!$A$50,Worksheet!H$50,IF(Request!$D58=Worksheet!$A$51,Worksheet!H$51,IF(Request!$D58=Worksheet!$A$52,Worksheet!H$52,IF(Request!$D58=Worksheet!$A$53,Worksheet!H$53,IF(Request!$D58=Worksheet!$A$54,Worksheet!H$54,IF(Request!$D58=Worksheet!$A$55,Worksheet!H$55))))))))))),0)+ROUND(Q30/Worksheet!$C$5*Worksheet!$C$10*(IF(Request!$D58=Worksheet!$A$47,Worksheet!I$47,IF(Request!$D58=Worksheet!$A$48,Worksheet!I$48,IF(Request!$D58=Worksheet!$A$49,Worksheet!I$49,IF(Request!$D58=Worksheet!$A$50,Worksheet!I$50,IF(Request!$D58=Worksheet!$A$51,Worksheet!I$51,IF(Request!$D58=Worksheet!$A$52,Worksheet!I$52,IF(Request!$D58=Worksheet!$A$53,Worksheet!I$53,IF(Request!$D58=Worksheet!$A$54,Worksheet!I$54,IF(Request!$D58=Worksheet!$A$55,Worksheet!I$55)))))))))),0)))))))</f>
        <v>0</v>
      </c>
      <c r="R58" s="80">
        <f ca="1">IF(AND($D58="F-SMRA",R30=0),0,IF(AND($D58="F-SMRB",R30=0),0,IF(AND($D58="F-SMRC",R30=0),0,IF($D58=Worksheet!$A$68,Worksheet!J318,IF($D58=Worksheet!$A$69,Worksheet!J318,IF($D58=Worksheet!$A$70,Worksheet!J318,ROUND((Request!R30/Worksheet!$C$5*Worksheet!$C$9*(IF(Request!$D58=Worksheet!$A$47,Worksheet!J$47,IF(Request!$D58=Worksheet!$A$48,Worksheet!J$48,IF(Request!$D58=Worksheet!$A$49,Worksheet!J$49,IF(Request!$D58=Worksheet!$A$50,Worksheet!J$50,IF(Request!$D58=Worksheet!$A$51,Worksheet!J$51,IF(Request!$D58=Worksheet!$A$52,Worksheet!J$52,IF(Request!$D58=Worksheet!$A$53,Worksheet!J$53,IF(Request!$D58=Worksheet!$A$54,Worksheet!J$54,IF(Request!$D58=Worksheet!$A$55,Worksheet!J$55))))))))))),0)+ROUND(R30/Worksheet!$C$5*Worksheet!$C$10*(IF(Request!$D58=Worksheet!$A$47,Worksheet!K$47,IF(Request!$D58=Worksheet!$A$48,Worksheet!K$48,IF(Request!$D58=Worksheet!$A$49,Worksheet!K$49,IF(Request!$D58=Worksheet!$A$50,Worksheet!K$50,IF(Request!$D58=Worksheet!$A$51,Worksheet!K$51,IF(Request!$D58=Worksheet!$A$52,Worksheet!K$52,IF(Request!$D58=Worksheet!$A$53,Worksheet!K$53,IF(Request!$D58=Worksheet!$A$54,Worksheet!K$54,IF(Request!$D58=Worksheet!$A$55,Worksheet!K$55)))))))))),0)))))))</f>
        <v>0</v>
      </c>
      <c r="S58" s="80">
        <f t="shared" ca="1" si="3"/>
        <v>0</v>
      </c>
      <c r="T58" s="65"/>
      <c r="U58" s="65"/>
      <c r="V58" s="65"/>
      <c r="W58" s="65"/>
      <c r="X58" s="65"/>
    </row>
    <row r="59" spans="1:24">
      <c r="A59" s="266" t="s">
        <v>7</v>
      </c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8"/>
      <c r="N59" s="171">
        <f ca="1">ROUND(SUM(N35:N58),0)</f>
        <v>3274</v>
      </c>
      <c r="O59" s="171">
        <f t="shared" ref="O59:S59" ca="1" si="4">SUM(O35:O58)</f>
        <v>3574</v>
      </c>
      <c r="P59" s="171">
        <f t="shared" ca="1" si="4"/>
        <v>3765</v>
      </c>
      <c r="Q59" s="171">
        <f t="shared" ca="1" si="4"/>
        <v>0</v>
      </c>
      <c r="R59" s="171">
        <f t="shared" ca="1" si="4"/>
        <v>0</v>
      </c>
      <c r="S59" s="171">
        <f t="shared" ca="1" si="4"/>
        <v>10613</v>
      </c>
    </row>
    <row r="60" spans="1:24">
      <c r="A60" s="266" t="s">
        <v>22</v>
      </c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8"/>
      <c r="N60" s="171">
        <f t="shared" ref="N60:S60" ca="1" si="5">N31+N59</f>
        <v>75394</v>
      </c>
      <c r="O60" s="171">
        <f t="shared" ca="1" si="5"/>
        <v>78195</v>
      </c>
      <c r="P60" s="171">
        <f t="shared" ca="1" si="5"/>
        <v>80624</v>
      </c>
      <c r="Q60" s="171">
        <f t="shared" ca="1" si="5"/>
        <v>0</v>
      </c>
      <c r="R60" s="171">
        <f t="shared" ca="1" si="5"/>
        <v>0</v>
      </c>
      <c r="S60" s="171">
        <f t="shared" ca="1" si="5"/>
        <v>234213</v>
      </c>
    </row>
    <row r="62" spans="1:24">
      <c r="A62" s="259" t="s">
        <v>70</v>
      </c>
      <c r="B62" s="260"/>
      <c r="C62" s="260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194"/>
      <c r="O62" s="194"/>
      <c r="P62" s="194"/>
      <c r="Q62" s="194"/>
      <c r="R62" s="194"/>
      <c r="S62" s="194" t="str">
        <f t="shared" ref="S62" si="6">S34</f>
        <v>Total</v>
      </c>
    </row>
    <row r="63" spans="1:24">
      <c r="A63" s="161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152"/>
      <c r="O63" s="152"/>
      <c r="P63" s="152"/>
      <c r="Q63" s="152"/>
      <c r="R63" s="152"/>
      <c r="S63" s="152">
        <f>SUM(N63:R63)</f>
        <v>0</v>
      </c>
    </row>
    <row r="64" spans="1:24">
      <c r="A64" s="161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152"/>
      <c r="O64" s="152"/>
      <c r="P64" s="152"/>
      <c r="Q64" s="152"/>
      <c r="R64" s="152"/>
      <c r="S64" s="152">
        <f t="shared" ref="S64:S71" si="7">SUM(N64:R64)</f>
        <v>0</v>
      </c>
    </row>
    <row r="65" spans="1:19">
      <c r="A65" s="161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152"/>
      <c r="O65" s="152"/>
      <c r="P65" s="152"/>
      <c r="Q65" s="152"/>
      <c r="R65" s="152"/>
      <c r="S65" s="152">
        <f t="shared" si="7"/>
        <v>0</v>
      </c>
    </row>
    <row r="66" spans="1:19" hidden="1">
      <c r="A66" s="161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152"/>
      <c r="O66" s="152"/>
      <c r="P66" s="152"/>
      <c r="Q66" s="152"/>
      <c r="R66" s="152"/>
      <c r="S66" s="152">
        <f t="shared" si="7"/>
        <v>0</v>
      </c>
    </row>
    <row r="67" spans="1:19" hidden="1">
      <c r="A67" s="161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152"/>
      <c r="O67" s="152"/>
      <c r="P67" s="152"/>
      <c r="Q67" s="152"/>
      <c r="R67" s="152"/>
      <c r="S67" s="152">
        <f t="shared" si="7"/>
        <v>0</v>
      </c>
    </row>
    <row r="68" spans="1:19" hidden="1">
      <c r="A68" s="1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152"/>
      <c r="O68" s="152"/>
      <c r="P68" s="152"/>
      <c r="Q68" s="152"/>
      <c r="R68" s="152"/>
      <c r="S68" s="152">
        <f t="shared" si="7"/>
        <v>0</v>
      </c>
    </row>
    <row r="69" spans="1:19" hidden="1">
      <c r="A69" s="1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152"/>
      <c r="O69" s="152"/>
      <c r="P69" s="152"/>
      <c r="Q69" s="152"/>
      <c r="R69" s="152"/>
      <c r="S69" s="152">
        <f t="shared" si="7"/>
        <v>0</v>
      </c>
    </row>
    <row r="70" spans="1:19" hidden="1">
      <c r="A70" s="161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152"/>
      <c r="O70" s="152"/>
      <c r="P70" s="152"/>
      <c r="Q70" s="152"/>
      <c r="R70" s="152"/>
      <c r="S70" s="152">
        <f t="shared" si="7"/>
        <v>0</v>
      </c>
    </row>
    <row r="71" spans="1:19" hidden="1">
      <c r="A71" s="161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152"/>
      <c r="O71" s="152"/>
      <c r="P71" s="152"/>
      <c r="Q71" s="152"/>
      <c r="R71" s="152"/>
      <c r="S71" s="152">
        <f t="shared" si="7"/>
        <v>0</v>
      </c>
    </row>
    <row r="72" spans="1:19">
      <c r="A72" s="259" t="s">
        <v>71</v>
      </c>
      <c r="B72" s="260"/>
      <c r="C72" s="260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156">
        <f>SUM(N63:N71)</f>
        <v>0</v>
      </c>
      <c r="O72" s="156">
        <f t="shared" ref="O72:R72" si="8">SUM(O63:O71)</f>
        <v>0</v>
      </c>
      <c r="P72" s="156">
        <f t="shared" si="8"/>
        <v>0</v>
      </c>
      <c r="Q72" s="156">
        <f t="shared" si="8"/>
        <v>0</v>
      </c>
      <c r="R72" s="156">
        <f t="shared" si="8"/>
        <v>0</v>
      </c>
      <c r="S72" s="156">
        <f>SUM(S63:S71)</f>
        <v>0</v>
      </c>
    </row>
    <row r="73" spans="1:19">
      <c r="A73" s="164"/>
      <c r="B73" s="77"/>
      <c r="C73" s="77"/>
    </row>
    <row r="74" spans="1:19">
      <c r="A74" s="259" t="s">
        <v>72</v>
      </c>
      <c r="B74" s="260"/>
      <c r="C74" s="260"/>
      <c r="D74" s="66"/>
      <c r="E74" s="66"/>
      <c r="F74" s="66"/>
      <c r="G74" s="66"/>
      <c r="H74" s="66"/>
      <c r="I74" s="66"/>
      <c r="J74" s="66"/>
      <c r="K74" s="248" t="s">
        <v>175</v>
      </c>
      <c r="L74" s="248"/>
      <c r="M74" s="249"/>
      <c r="N74" s="194"/>
      <c r="O74" s="194"/>
      <c r="P74" s="194"/>
      <c r="Q74" s="194"/>
      <c r="R74" s="194"/>
      <c r="S74" s="194" t="str">
        <f t="shared" ref="S74" si="9">S62</f>
        <v>Total</v>
      </c>
    </row>
    <row r="75" spans="1:19">
      <c r="A75" s="161"/>
      <c r="B75" s="68" t="s">
        <v>196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58" t="s">
        <v>188</v>
      </c>
      <c r="N75" s="152"/>
      <c r="O75" s="152">
        <v>4400</v>
      </c>
      <c r="P75" s="152"/>
      <c r="Q75" s="152"/>
      <c r="R75" s="152"/>
      <c r="S75" s="151">
        <f>SUM(N75:R75)</f>
        <v>4400</v>
      </c>
    </row>
    <row r="76" spans="1:19">
      <c r="A76" s="161"/>
      <c r="B76" s="68" t="s">
        <v>197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58" t="s">
        <v>177</v>
      </c>
      <c r="N76" s="152">
        <v>4200</v>
      </c>
      <c r="O76" s="152">
        <v>4200</v>
      </c>
      <c r="P76" s="152">
        <v>4200</v>
      </c>
      <c r="Q76" s="152"/>
      <c r="R76" s="152"/>
      <c r="S76" s="151">
        <f t="shared" ref="S76:S83" si="10">SUM(N76:R76)</f>
        <v>12600</v>
      </c>
    </row>
    <row r="77" spans="1:19">
      <c r="A77" s="161"/>
      <c r="B77" s="68" t="s">
        <v>198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58" t="s">
        <v>177</v>
      </c>
      <c r="N77" s="152"/>
      <c r="O77" s="152"/>
      <c r="P77" s="152">
        <v>2300</v>
      </c>
      <c r="Q77" s="152"/>
      <c r="R77" s="152"/>
      <c r="S77" s="151">
        <f t="shared" si="10"/>
        <v>2300</v>
      </c>
    </row>
    <row r="78" spans="1:19" hidden="1">
      <c r="A78" s="161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0"/>
      <c r="N78" s="152"/>
      <c r="O78" s="152"/>
      <c r="P78" s="152"/>
      <c r="Q78" s="152"/>
      <c r="R78" s="152"/>
      <c r="S78" s="151">
        <f t="shared" si="10"/>
        <v>0</v>
      </c>
    </row>
    <row r="79" spans="1:19" hidden="1">
      <c r="A79" s="161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0"/>
      <c r="N79" s="152"/>
      <c r="O79" s="152"/>
      <c r="P79" s="152"/>
      <c r="Q79" s="152"/>
      <c r="R79" s="152"/>
      <c r="S79" s="151">
        <f t="shared" si="10"/>
        <v>0</v>
      </c>
    </row>
    <row r="80" spans="1:19" hidden="1">
      <c r="A80" s="161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0"/>
      <c r="N80" s="152"/>
      <c r="O80" s="152"/>
      <c r="P80" s="152"/>
      <c r="Q80" s="152"/>
      <c r="R80" s="152"/>
      <c r="S80" s="151">
        <f t="shared" si="10"/>
        <v>0</v>
      </c>
    </row>
    <row r="81" spans="1:19" hidden="1">
      <c r="A81" s="161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0"/>
      <c r="N81" s="152"/>
      <c r="O81" s="152"/>
      <c r="P81" s="152"/>
      <c r="Q81" s="152"/>
      <c r="R81" s="152"/>
      <c r="S81" s="151">
        <f t="shared" si="10"/>
        <v>0</v>
      </c>
    </row>
    <row r="82" spans="1:19" hidden="1">
      <c r="A82" s="161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0"/>
      <c r="N82" s="152"/>
      <c r="O82" s="152"/>
      <c r="P82" s="152"/>
      <c r="Q82" s="152"/>
      <c r="R82" s="152"/>
      <c r="S82" s="151">
        <f t="shared" si="10"/>
        <v>0</v>
      </c>
    </row>
    <row r="83" spans="1:19" hidden="1">
      <c r="A83" s="161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0"/>
      <c r="N83" s="152"/>
      <c r="O83" s="152"/>
      <c r="P83" s="152"/>
      <c r="Q83" s="152"/>
      <c r="R83" s="152"/>
      <c r="S83" s="151">
        <f t="shared" si="10"/>
        <v>0</v>
      </c>
    </row>
    <row r="84" spans="1:19">
      <c r="A84" s="259" t="s">
        <v>73</v>
      </c>
      <c r="B84" s="260"/>
      <c r="C84" s="260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154">
        <f>SUM(N75:N83)</f>
        <v>4200</v>
      </c>
      <c r="O84" s="154">
        <f t="shared" ref="O84" si="11">SUM(O75:O83)</f>
        <v>8600</v>
      </c>
      <c r="P84" s="154">
        <f t="shared" ref="P84" si="12">SUM(P75:P83)</f>
        <v>6500</v>
      </c>
      <c r="Q84" s="154">
        <f t="shared" ref="Q84" si="13">SUM(Q75:Q83)</f>
        <v>0</v>
      </c>
      <c r="R84" s="154">
        <f t="shared" ref="R84" si="14">SUM(R75:R83)</f>
        <v>0</v>
      </c>
      <c r="S84" s="154">
        <f>SUM(S75:S83)</f>
        <v>19300</v>
      </c>
    </row>
    <row r="86" spans="1:19">
      <c r="A86" s="259" t="s">
        <v>74</v>
      </c>
      <c r="B86" s="260"/>
      <c r="C86" s="260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194"/>
      <c r="O86" s="194"/>
      <c r="P86" s="194"/>
      <c r="Q86" s="194"/>
      <c r="R86" s="194"/>
      <c r="S86" s="194" t="str">
        <f t="shared" ref="S86" si="15">S74</f>
        <v>Total</v>
      </c>
    </row>
    <row r="87" spans="1:19">
      <c r="A87" s="161"/>
      <c r="B87" s="68" t="s">
        <v>193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80">
        <v>3550</v>
      </c>
      <c r="O87" s="80"/>
      <c r="P87" s="80"/>
      <c r="Q87" s="80"/>
      <c r="R87" s="80"/>
      <c r="S87" s="151">
        <f>SUM(N87:R87)</f>
        <v>3550</v>
      </c>
    </row>
    <row r="88" spans="1:19">
      <c r="A88" s="161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80"/>
      <c r="O88" s="80"/>
      <c r="P88" s="80"/>
      <c r="Q88" s="80"/>
      <c r="R88" s="80"/>
      <c r="S88" s="151">
        <f t="shared" ref="S88:S95" si="16">SUM(N88:R88)</f>
        <v>0</v>
      </c>
    </row>
    <row r="89" spans="1:19">
      <c r="A89" s="161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80"/>
      <c r="O89" s="80"/>
      <c r="P89" s="80"/>
      <c r="Q89" s="80"/>
      <c r="R89" s="80"/>
      <c r="S89" s="151">
        <f t="shared" si="16"/>
        <v>0</v>
      </c>
    </row>
    <row r="90" spans="1:19" hidden="1">
      <c r="A90" s="161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80"/>
      <c r="O90" s="80"/>
      <c r="P90" s="80"/>
      <c r="Q90" s="80"/>
      <c r="R90" s="80"/>
      <c r="S90" s="151">
        <f t="shared" si="16"/>
        <v>0</v>
      </c>
    </row>
    <row r="91" spans="1:19" hidden="1">
      <c r="A91" s="161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151"/>
      <c r="O91" s="151"/>
      <c r="P91" s="151"/>
      <c r="Q91" s="151"/>
      <c r="R91" s="151"/>
      <c r="S91" s="151">
        <f t="shared" si="16"/>
        <v>0</v>
      </c>
    </row>
    <row r="92" spans="1:19" hidden="1">
      <c r="A92" s="161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151"/>
      <c r="O92" s="151"/>
      <c r="P92" s="151"/>
      <c r="Q92" s="151"/>
      <c r="R92" s="151"/>
      <c r="S92" s="151">
        <f t="shared" si="16"/>
        <v>0</v>
      </c>
    </row>
    <row r="93" spans="1:19" hidden="1">
      <c r="A93" s="161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151"/>
      <c r="O93" s="151"/>
      <c r="P93" s="151"/>
      <c r="Q93" s="151"/>
      <c r="R93" s="151"/>
      <c r="S93" s="151">
        <f t="shared" si="16"/>
        <v>0</v>
      </c>
    </row>
    <row r="94" spans="1:19" hidden="1">
      <c r="A94" s="161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151"/>
      <c r="O94" s="151"/>
      <c r="P94" s="151"/>
      <c r="Q94" s="151"/>
      <c r="R94" s="151"/>
      <c r="S94" s="151">
        <f t="shared" si="16"/>
        <v>0</v>
      </c>
    </row>
    <row r="95" spans="1:19" hidden="1">
      <c r="A95" s="161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151"/>
      <c r="O95" s="151"/>
      <c r="P95" s="151"/>
      <c r="Q95" s="151"/>
      <c r="R95" s="151"/>
      <c r="S95" s="151">
        <f t="shared" si="16"/>
        <v>0</v>
      </c>
    </row>
    <row r="96" spans="1:19">
      <c r="A96" s="259" t="s">
        <v>75</v>
      </c>
      <c r="B96" s="260"/>
      <c r="C96" s="260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154">
        <f>SUM(N87:N95)</f>
        <v>3550</v>
      </c>
      <c r="O96" s="154">
        <f t="shared" ref="O96" si="17">SUM(O87:O95)</f>
        <v>0</v>
      </c>
      <c r="P96" s="154">
        <f t="shared" ref="P96" si="18">SUM(P87:P95)</f>
        <v>0</v>
      </c>
      <c r="Q96" s="154">
        <f t="shared" ref="Q96" si="19">SUM(Q87:Q95)</f>
        <v>0</v>
      </c>
      <c r="R96" s="154">
        <f t="shared" ref="R96" si="20">SUM(R87:R95)</f>
        <v>0</v>
      </c>
      <c r="S96" s="154">
        <f>SUM(S87:S95)</f>
        <v>3550</v>
      </c>
    </row>
    <row r="98" spans="1:19" hidden="1">
      <c r="A98" s="259" t="s">
        <v>76</v>
      </c>
      <c r="B98" s="260"/>
      <c r="C98" s="260"/>
      <c r="D98" s="66"/>
      <c r="E98" s="66"/>
      <c r="F98" s="66"/>
      <c r="G98" s="66"/>
      <c r="H98" s="66"/>
      <c r="I98" s="66"/>
      <c r="J98" s="66"/>
      <c r="K98" s="294" t="s">
        <v>78</v>
      </c>
      <c r="L98" s="295"/>
      <c r="M98" s="296"/>
      <c r="N98" s="194"/>
      <c r="O98" s="194"/>
      <c r="P98" s="194"/>
      <c r="Q98" s="194"/>
      <c r="R98" s="194"/>
      <c r="S98" s="194" t="str">
        <f t="shared" ref="S98" si="21">S86</f>
        <v>Total</v>
      </c>
    </row>
    <row r="99" spans="1:19" hidden="1">
      <c r="A99" s="161"/>
      <c r="B99" s="68"/>
      <c r="C99" s="68"/>
      <c r="D99" s="68"/>
      <c r="E99" s="68"/>
      <c r="F99" s="68"/>
      <c r="G99" s="68"/>
      <c r="H99" s="68"/>
      <c r="I99" s="68"/>
      <c r="J99" s="68"/>
      <c r="K99" s="263" t="s">
        <v>129</v>
      </c>
      <c r="L99" s="297"/>
      <c r="M99" s="264"/>
      <c r="N99" s="151"/>
      <c r="O99" s="151"/>
      <c r="P99" s="151"/>
      <c r="Q99" s="151"/>
      <c r="R99" s="151"/>
      <c r="S99" s="151">
        <f>SUM(N99:R99)</f>
        <v>0</v>
      </c>
    </row>
    <row r="100" spans="1:19" hidden="1">
      <c r="A100" s="161"/>
      <c r="B100" s="68"/>
      <c r="C100" s="68"/>
      <c r="D100" s="68"/>
      <c r="E100" s="68"/>
      <c r="F100" s="68"/>
      <c r="G100" s="68"/>
      <c r="H100" s="68"/>
      <c r="I100" s="68"/>
      <c r="J100" s="68"/>
      <c r="K100" s="263" t="s">
        <v>129</v>
      </c>
      <c r="L100" s="297"/>
      <c r="M100" s="264"/>
      <c r="N100" s="151"/>
      <c r="O100" s="151"/>
      <c r="P100" s="151"/>
      <c r="Q100" s="151"/>
      <c r="R100" s="151"/>
      <c r="S100" s="151">
        <f t="shared" ref="S100:S113" si="22">SUM(N100:R100)</f>
        <v>0</v>
      </c>
    </row>
    <row r="101" spans="1:19" hidden="1">
      <c r="A101" s="161"/>
      <c r="B101" s="68"/>
      <c r="C101" s="68"/>
      <c r="D101" s="68"/>
      <c r="E101" s="68"/>
      <c r="F101" s="68"/>
      <c r="G101" s="68"/>
      <c r="H101" s="68"/>
      <c r="I101" s="68"/>
      <c r="J101" s="68"/>
      <c r="K101" s="279" t="s">
        <v>129</v>
      </c>
      <c r="L101" s="280"/>
      <c r="M101" s="281"/>
      <c r="N101" s="151"/>
      <c r="O101" s="151"/>
      <c r="P101" s="151"/>
      <c r="Q101" s="151"/>
      <c r="R101" s="151"/>
      <c r="S101" s="151">
        <f t="shared" si="22"/>
        <v>0</v>
      </c>
    </row>
    <row r="102" spans="1:19" hidden="1">
      <c r="A102" s="161"/>
      <c r="B102" s="68"/>
      <c r="C102" s="68"/>
      <c r="D102" s="68"/>
      <c r="E102" s="68"/>
      <c r="F102" s="68"/>
      <c r="G102" s="68"/>
      <c r="H102" s="68"/>
      <c r="I102" s="68"/>
      <c r="J102" s="68"/>
      <c r="K102" s="279" t="s">
        <v>129</v>
      </c>
      <c r="L102" s="280"/>
      <c r="M102" s="281"/>
      <c r="N102" s="151"/>
      <c r="O102" s="151"/>
      <c r="P102" s="151"/>
      <c r="Q102" s="151"/>
      <c r="R102" s="151"/>
      <c r="S102" s="151">
        <f t="shared" si="22"/>
        <v>0</v>
      </c>
    </row>
    <row r="103" spans="1:19" hidden="1">
      <c r="A103" s="161"/>
      <c r="B103" s="68"/>
      <c r="C103" s="68"/>
      <c r="D103" s="68"/>
      <c r="E103" s="68"/>
      <c r="F103" s="68"/>
      <c r="G103" s="68"/>
      <c r="H103" s="68"/>
      <c r="I103" s="68"/>
      <c r="J103" s="68"/>
      <c r="K103" s="279" t="s">
        <v>129</v>
      </c>
      <c r="L103" s="280"/>
      <c r="M103" s="281"/>
      <c r="N103" s="151"/>
      <c r="O103" s="151"/>
      <c r="P103" s="151"/>
      <c r="Q103" s="151"/>
      <c r="R103" s="151"/>
      <c r="S103" s="151">
        <f t="shared" si="22"/>
        <v>0</v>
      </c>
    </row>
    <row r="104" spans="1:19" hidden="1">
      <c r="A104" s="161"/>
      <c r="B104" s="68"/>
      <c r="C104" s="68"/>
      <c r="D104" s="68"/>
      <c r="E104" s="68"/>
      <c r="F104" s="68"/>
      <c r="G104" s="68"/>
      <c r="H104" s="68"/>
      <c r="I104" s="68"/>
      <c r="J104" s="68"/>
      <c r="K104" s="279" t="s">
        <v>129</v>
      </c>
      <c r="L104" s="280"/>
      <c r="M104" s="281"/>
      <c r="N104" s="151"/>
      <c r="O104" s="151"/>
      <c r="P104" s="151"/>
      <c r="Q104" s="151"/>
      <c r="R104" s="151"/>
      <c r="S104" s="151">
        <f t="shared" si="22"/>
        <v>0</v>
      </c>
    </row>
    <row r="105" spans="1:19" hidden="1">
      <c r="A105" s="161"/>
      <c r="B105" s="68"/>
      <c r="C105" s="68"/>
      <c r="D105" s="68"/>
      <c r="E105" s="68"/>
      <c r="F105" s="68"/>
      <c r="G105" s="68"/>
      <c r="H105" s="68"/>
      <c r="I105" s="68"/>
      <c r="J105" s="68"/>
      <c r="K105" s="279" t="s">
        <v>128</v>
      </c>
      <c r="L105" s="280"/>
      <c r="M105" s="281"/>
      <c r="N105" s="151"/>
      <c r="O105" s="151"/>
      <c r="P105" s="151"/>
      <c r="Q105" s="151"/>
      <c r="R105" s="151"/>
      <c r="S105" s="151">
        <f t="shared" si="22"/>
        <v>0</v>
      </c>
    </row>
    <row r="106" spans="1:19" hidden="1">
      <c r="A106" s="161"/>
      <c r="B106" s="68"/>
      <c r="C106" s="68"/>
      <c r="D106" s="68"/>
      <c r="E106" s="68"/>
      <c r="F106" s="68"/>
      <c r="G106" s="68"/>
      <c r="H106" s="68"/>
      <c r="I106" s="68"/>
      <c r="J106" s="68"/>
      <c r="K106" s="279" t="s">
        <v>129</v>
      </c>
      <c r="L106" s="280"/>
      <c r="M106" s="281"/>
      <c r="N106" s="151"/>
      <c r="O106" s="151"/>
      <c r="P106" s="151"/>
      <c r="Q106" s="151"/>
      <c r="R106" s="151"/>
      <c r="S106" s="151">
        <f t="shared" si="22"/>
        <v>0</v>
      </c>
    </row>
    <row r="107" spans="1:19" hidden="1">
      <c r="A107" s="161"/>
      <c r="B107" s="68"/>
      <c r="C107" s="68"/>
      <c r="D107" s="68"/>
      <c r="E107" s="68"/>
      <c r="F107" s="68"/>
      <c r="G107" s="68"/>
      <c r="H107" s="68"/>
      <c r="I107" s="68"/>
      <c r="J107" s="68"/>
      <c r="K107" s="279" t="s">
        <v>129</v>
      </c>
      <c r="L107" s="280"/>
      <c r="M107" s="281"/>
      <c r="N107" s="151"/>
      <c r="O107" s="151"/>
      <c r="P107" s="151"/>
      <c r="Q107" s="151"/>
      <c r="R107" s="151"/>
      <c r="S107" s="151">
        <f t="shared" si="22"/>
        <v>0</v>
      </c>
    </row>
    <row r="108" spans="1:19" hidden="1">
      <c r="A108" s="161"/>
      <c r="B108" s="68"/>
      <c r="C108" s="68"/>
      <c r="D108" s="68"/>
      <c r="E108" s="68"/>
      <c r="F108" s="68"/>
      <c r="G108" s="68"/>
      <c r="H108" s="68"/>
      <c r="I108" s="68"/>
      <c r="J108" s="68"/>
      <c r="K108" s="279" t="s">
        <v>129</v>
      </c>
      <c r="L108" s="280"/>
      <c r="M108" s="281"/>
      <c r="N108" s="151"/>
      <c r="O108" s="151"/>
      <c r="P108" s="151"/>
      <c r="Q108" s="151"/>
      <c r="R108" s="151"/>
      <c r="S108" s="151">
        <f t="shared" si="22"/>
        <v>0</v>
      </c>
    </row>
    <row r="109" spans="1:19" hidden="1">
      <c r="A109" s="161"/>
      <c r="B109" s="68"/>
      <c r="C109" s="68"/>
      <c r="D109" s="68"/>
      <c r="E109" s="68"/>
      <c r="F109" s="68"/>
      <c r="G109" s="68"/>
      <c r="H109" s="68"/>
      <c r="I109" s="68"/>
      <c r="J109" s="68"/>
      <c r="K109" s="279" t="s">
        <v>128</v>
      </c>
      <c r="L109" s="280"/>
      <c r="M109" s="281"/>
      <c r="N109" s="151"/>
      <c r="O109" s="151"/>
      <c r="P109" s="151"/>
      <c r="Q109" s="151"/>
      <c r="R109" s="151"/>
      <c r="S109" s="151">
        <f t="shared" si="22"/>
        <v>0</v>
      </c>
    </row>
    <row r="110" spans="1:19" hidden="1">
      <c r="A110" s="161"/>
      <c r="B110" s="68"/>
      <c r="C110" s="68"/>
      <c r="D110" s="68"/>
      <c r="E110" s="68"/>
      <c r="F110" s="68"/>
      <c r="G110" s="68"/>
      <c r="H110" s="68"/>
      <c r="I110" s="68"/>
      <c r="J110" s="68"/>
      <c r="K110" s="279" t="s">
        <v>129</v>
      </c>
      <c r="L110" s="280"/>
      <c r="M110" s="281"/>
      <c r="N110" s="151"/>
      <c r="O110" s="151"/>
      <c r="P110" s="151"/>
      <c r="Q110" s="151"/>
      <c r="R110" s="151"/>
      <c r="S110" s="151">
        <f t="shared" si="22"/>
        <v>0</v>
      </c>
    </row>
    <row r="111" spans="1:19" hidden="1">
      <c r="A111" s="161"/>
      <c r="B111" s="68"/>
      <c r="C111" s="68"/>
      <c r="D111" s="68"/>
      <c r="E111" s="68"/>
      <c r="F111" s="68"/>
      <c r="G111" s="68"/>
      <c r="H111" s="68"/>
      <c r="I111" s="68"/>
      <c r="J111" s="68"/>
      <c r="K111" s="279" t="s">
        <v>128</v>
      </c>
      <c r="L111" s="280"/>
      <c r="M111" s="281"/>
      <c r="N111" s="151"/>
      <c r="O111" s="151"/>
      <c r="P111" s="151"/>
      <c r="Q111" s="151"/>
      <c r="R111" s="151"/>
      <c r="S111" s="151">
        <f t="shared" si="22"/>
        <v>0</v>
      </c>
    </row>
    <row r="112" spans="1:19" hidden="1">
      <c r="A112" s="161"/>
      <c r="B112" s="68"/>
      <c r="C112" s="68"/>
      <c r="D112" s="68"/>
      <c r="E112" s="68"/>
      <c r="F112" s="68"/>
      <c r="G112" s="68"/>
      <c r="H112" s="68"/>
      <c r="I112" s="68"/>
      <c r="J112" s="68"/>
      <c r="K112" s="279" t="s">
        <v>129</v>
      </c>
      <c r="L112" s="280"/>
      <c r="M112" s="281"/>
      <c r="N112" s="151"/>
      <c r="O112" s="151"/>
      <c r="P112" s="151"/>
      <c r="Q112" s="151"/>
      <c r="R112" s="151"/>
      <c r="S112" s="151">
        <f t="shared" si="22"/>
        <v>0</v>
      </c>
    </row>
    <row r="113" spans="1:19" hidden="1">
      <c r="A113" s="161"/>
      <c r="B113" s="68"/>
      <c r="C113" s="68"/>
      <c r="D113" s="68"/>
      <c r="E113" s="68"/>
      <c r="F113" s="68"/>
      <c r="G113" s="68"/>
      <c r="H113" s="68"/>
      <c r="I113" s="68"/>
      <c r="J113" s="68"/>
      <c r="K113" s="279" t="s">
        <v>128</v>
      </c>
      <c r="L113" s="280"/>
      <c r="M113" s="281"/>
      <c r="N113" s="151"/>
      <c r="O113" s="151"/>
      <c r="P113" s="151"/>
      <c r="Q113" s="151"/>
      <c r="R113" s="151"/>
      <c r="S113" s="151">
        <f t="shared" si="22"/>
        <v>0</v>
      </c>
    </row>
    <row r="114" spans="1:19" hidden="1">
      <c r="A114" s="259" t="s">
        <v>77</v>
      </c>
      <c r="B114" s="260"/>
      <c r="C114" s="260"/>
      <c r="D114" s="66"/>
      <c r="E114" s="66"/>
      <c r="F114" s="66"/>
      <c r="G114" s="66"/>
      <c r="H114" s="66"/>
      <c r="I114" s="66"/>
      <c r="J114" s="66"/>
      <c r="K114" s="69"/>
      <c r="L114" s="66"/>
      <c r="M114" s="70"/>
      <c r="N114" s="154">
        <f>SUM(N99:N113)</f>
        <v>0</v>
      </c>
      <c r="O114" s="154">
        <f t="shared" ref="O114" si="23">SUM(O99:O113)</f>
        <v>0</v>
      </c>
      <c r="P114" s="154">
        <f t="shared" ref="P114" si="24">SUM(P99:P113)</f>
        <v>0</v>
      </c>
      <c r="Q114" s="154">
        <f t="shared" ref="Q114" si="25">SUM(Q99:Q113)</f>
        <v>0</v>
      </c>
      <c r="R114" s="154">
        <f t="shared" ref="R114" si="26">SUM(R99:R113)</f>
        <v>0</v>
      </c>
      <c r="S114" s="154">
        <f>SUM(S99:S113)</f>
        <v>0</v>
      </c>
    </row>
    <row r="115" spans="1:19" hidden="1"/>
    <row r="116" spans="1:19">
      <c r="A116" s="191" t="s">
        <v>79</v>
      </c>
      <c r="B116" s="192"/>
      <c r="C116" s="192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194"/>
      <c r="O116" s="194"/>
      <c r="P116" s="194"/>
      <c r="Q116" s="194"/>
      <c r="R116" s="194"/>
      <c r="S116" s="194" t="str">
        <f t="shared" ref="S116" si="27">S98</f>
        <v>Total</v>
      </c>
    </row>
    <row r="117" spans="1:19">
      <c r="A117" s="161"/>
      <c r="B117" s="68" t="s">
        <v>199</v>
      </c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155">
        <v>4200</v>
      </c>
      <c r="O117" s="155">
        <v>4200</v>
      </c>
      <c r="P117" s="155">
        <v>4200</v>
      </c>
      <c r="Q117" s="155"/>
      <c r="R117" s="155"/>
      <c r="S117" s="155">
        <f>SUM(N117:R117)</f>
        <v>12600</v>
      </c>
    </row>
    <row r="118" spans="1:19">
      <c r="A118" s="161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155"/>
      <c r="O118" s="155"/>
      <c r="P118" s="155" t="s">
        <v>200</v>
      </c>
      <c r="Q118" s="155"/>
      <c r="R118" s="155"/>
      <c r="S118" s="155">
        <f t="shared" ref="S118:S125" si="28">SUM(N118:R118)</f>
        <v>0</v>
      </c>
    </row>
    <row r="119" spans="1:19" hidden="1">
      <c r="A119" s="161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155"/>
      <c r="O119" s="155"/>
      <c r="P119" s="155"/>
      <c r="Q119" s="155"/>
      <c r="R119" s="155"/>
      <c r="S119" s="155">
        <f t="shared" si="28"/>
        <v>0</v>
      </c>
    </row>
    <row r="120" spans="1:19" hidden="1">
      <c r="A120" s="161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155"/>
      <c r="O120" s="155"/>
      <c r="P120" s="155"/>
      <c r="Q120" s="155"/>
      <c r="R120" s="155"/>
      <c r="S120" s="152">
        <f t="shared" si="28"/>
        <v>0</v>
      </c>
    </row>
    <row r="121" spans="1:19" hidden="1">
      <c r="A121" s="161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155"/>
      <c r="O121" s="155"/>
      <c r="P121" s="155"/>
      <c r="Q121" s="155"/>
      <c r="R121" s="155"/>
      <c r="S121" s="152">
        <f t="shared" si="28"/>
        <v>0</v>
      </c>
    </row>
    <row r="122" spans="1:19" hidden="1">
      <c r="A122" s="161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155"/>
      <c r="O122" s="155"/>
      <c r="P122" s="155"/>
      <c r="Q122" s="155"/>
      <c r="R122" s="155"/>
      <c r="S122" s="152">
        <f t="shared" si="28"/>
        <v>0</v>
      </c>
    </row>
    <row r="123" spans="1:19" hidden="1">
      <c r="A123" s="161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155"/>
      <c r="O123" s="155"/>
      <c r="P123" s="155"/>
      <c r="Q123" s="155"/>
      <c r="R123" s="155"/>
      <c r="S123" s="152">
        <f t="shared" si="28"/>
        <v>0</v>
      </c>
    </row>
    <row r="124" spans="1:19" hidden="1">
      <c r="A124" s="161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155"/>
      <c r="O124" s="155"/>
      <c r="P124" s="155"/>
      <c r="Q124" s="155"/>
      <c r="R124" s="155"/>
      <c r="S124" s="152">
        <f t="shared" si="28"/>
        <v>0</v>
      </c>
    </row>
    <row r="125" spans="1:19" hidden="1">
      <c r="A125" s="161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152"/>
      <c r="O125" s="152"/>
      <c r="P125" s="152"/>
      <c r="Q125" s="152"/>
      <c r="R125" s="152"/>
      <c r="S125" s="152">
        <f t="shared" si="28"/>
        <v>0</v>
      </c>
    </row>
    <row r="126" spans="1:19">
      <c r="A126" s="191" t="s">
        <v>80</v>
      </c>
      <c r="B126" s="192"/>
      <c r="C126" s="192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172">
        <f>SUM(N117:N125)</f>
        <v>4200</v>
      </c>
      <c r="O126" s="172">
        <f t="shared" ref="O126" si="29">SUM(O117:O125)</f>
        <v>4200</v>
      </c>
      <c r="P126" s="172">
        <f t="shared" ref="P126" si="30">SUM(P117:P125)</f>
        <v>4200</v>
      </c>
      <c r="Q126" s="172">
        <f t="shared" ref="Q126" si="31">SUM(Q117:Q125)</f>
        <v>0</v>
      </c>
      <c r="R126" s="172">
        <f t="shared" ref="R126" si="32">SUM(R117:R125)</f>
        <v>0</v>
      </c>
      <c r="S126" s="153">
        <f>SUM(S117:S125)</f>
        <v>12600</v>
      </c>
    </row>
    <row r="127" spans="1:19">
      <c r="A127" s="173" t="s">
        <v>81</v>
      </c>
      <c r="B127" s="174"/>
      <c r="C127" s="174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54">
        <f>N114+N126</f>
        <v>4200</v>
      </c>
      <c r="O127" s="154">
        <f t="shared" ref="O127:S127" si="33">O114+O126</f>
        <v>4200</v>
      </c>
      <c r="P127" s="154">
        <f t="shared" si="33"/>
        <v>4200</v>
      </c>
      <c r="Q127" s="154">
        <f t="shared" si="33"/>
        <v>0</v>
      </c>
      <c r="R127" s="154">
        <f t="shared" si="33"/>
        <v>0</v>
      </c>
      <c r="S127" s="156">
        <f t="shared" si="33"/>
        <v>12600</v>
      </c>
    </row>
    <row r="129" spans="1:20">
      <c r="A129" s="259" t="s">
        <v>82</v>
      </c>
      <c r="B129" s="260"/>
      <c r="C129" s="260"/>
      <c r="D129" s="54"/>
      <c r="E129" s="54"/>
      <c r="F129" s="54"/>
      <c r="G129" s="54"/>
      <c r="H129" s="54"/>
      <c r="I129" s="54"/>
      <c r="J129" s="54"/>
      <c r="K129" s="54"/>
      <c r="L129" s="54"/>
      <c r="M129" s="71"/>
      <c r="N129" s="194" t="s">
        <v>168</v>
      </c>
      <c r="O129" s="194" t="s">
        <v>169</v>
      </c>
      <c r="P129" s="194" t="s">
        <v>170</v>
      </c>
      <c r="Q129" s="194" t="s">
        <v>174</v>
      </c>
      <c r="R129" s="194" t="s">
        <v>171</v>
      </c>
      <c r="S129" s="194" t="s">
        <v>14</v>
      </c>
    </row>
    <row r="130" spans="1:20">
      <c r="A130" s="72" t="s">
        <v>87</v>
      </c>
      <c r="B130" s="103"/>
      <c r="C130" s="103"/>
      <c r="D130" s="54"/>
      <c r="E130" s="73"/>
      <c r="F130" s="73"/>
      <c r="G130" s="54"/>
      <c r="H130" s="54"/>
      <c r="I130" s="54"/>
      <c r="J130" s="54"/>
      <c r="K130" s="54"/>
      <c r="L130" s="54"/>
      <c r="M130" s="54"/>
      <c r="N130" s="89" t="s">
        <v>95</v>
      </c>
      <c r="O130" s="66"/>
      <c r="P130" s="66"/>
      <c r="Q130" s="66"/>
      <c r="R130" s="66"/>
      <c r="S130" s="70"/>
    </row>
    <row r="131" spans="1:20">
      <c r="A131" s="254" t="s">
        <v>88</v>
      </c>
      <c r="B131" s="255"/>
      <c r="C131" s="255"/>
      <c r="D131" s="256"/>
      <c r="E131" s="182" t="s">
        <v>85</v>
      </c>
      <c r="F131" s="181" t="s">
        <v>15</v>
      </c>
      <c r="G131" s="293" t="s">
        <v>86</v>
      </c>
      <c r="H131" s="293"/>
      <c r="I131" s="44" t="s">
        <v>93</v>
      </c>
      <c r="J131" s="44" t="s">
        <v>89</v>
      </c>
      <c r="K131" s="44" t="s">
        <v>90</v>
      </c>
      <c r="L131" s="44" t="s">
        <v>91</v>
      </c>
      <c r="M131" s="44" t="s">
        <v>92</v>
      </c>
      <c r="N131" s="170">
        <f ca="1">SUM(N132:N134)</f>
        <v>13646</v>
      </c>
      <c r="O131" s="170">
        <f t="shared" ref="O131:R131" ca="1" si="34">SUM(O132:O134)</f>
        <v>15010.6</v>
      </c>
      <c r="P131" s="170">
        <f t="shared" ca="1" si="34"/>
        <v>16511.66</v>
      </c>
      <c r="Q131" s="170">
        <f t="shared" ca="1" si="34"/>
        <v>0</v>
      </c>
      <c r="R131" s="170">
        <f t="shared" ca="1" si="34"/>
        <v>0</v>
      </c>
      <c r="S131" s="157">
        <f ca="1">SUM(N131:R131)</f>
        <v>45168.259999999995</v>
      </c>
    </row>
    <row r="132" spans="1:20">
      <c r="A132" s="74"/>
      <c r="B132" s="75" t="s">
        <v>83</v>
      </c>
      <c r="C132" s="76"/>
      <c r="D132" s="251" t="s">
        <v>188</v>
      </c>
      <c r="E132" s="176">
        <v>0.1</v>
      </c>
      <c r="F132" s="251" t="s">
        <v>153</v>
      </c>
      <c r="G132" s="261">
        <v>16541</v>
      </c>
      <c r="H132" s="262"/>
      <c r="I132" s="60"/>
      <c r="J132" s="60"/>
      <c r="K132" s="60"/>
      <c r="L132" s="60"/>
      <c r="M132" s="60"/>
      <c r="N132" s="80">
        <v>13646</v>
      </c>
      <c r="O132" s="80">
        <v>15010.6</v>
      </c>
      <c r="P132" s="80">
        <v>16511.66</v>
      </c>
      <c r="Q132" s="80">
        <f ca="1">IF(AND($D$132="YES",$F$132="PY"),ROUND($G132*0.75*L132*((1+E132)^3)/9*(Worksheet!F27+Worksheet!F28),0),(IF(AND($D$132="NO",$F$132="PY"),ROUND($G132*L132*((1+E132)^3)/9*(Worksheet!F27+Worksheet!F28),0),Worksheet!H165)))</f>
        <v>0</v>
      </c>
      <c r="R132" s="80">
        <f ca="1">IF(AND($D$132="YES",$F$132="PY"),ROUND($G132*0.75*M132*((1+E132)^4)/9*(Worksheet!G27+Worksheet!G28),0),(IF(AND($D$132="NO",$F$132="PY"),ROUND($G132*M132*((1+E132)^4)/9*(Worksheet!G27+Worksheet!G28),0),Worksheet!I165)))</f>
        <v>0</v>
      </c>
      <c r="S132" s="80">
        <f ca="1">SUM(N132:R132)</f>
        <v>45168.259999999995</v>
      </c>
      <c r="T132" s="59"/>
    </row>
    <row r="133" spans="1:20">
      <c r="A133" s="74"/>
      <c r="B133" s="232" t="s">
        <v>84</v>
      </c>
      <c r="C133" s="233"/>
      <c r="D133" s="252"/>
      <c r="E133" s="176">
        <v>0.1</v>
      </c>
      <c r="F133" s="252"/>
      <c r="G133" s="261">
        <v>31643</v>
      </c>
      <c r="H133" s="262"/>
      <c r="I133" s="60"/>
      <c r="J133" s="60"/>
      <c r="K133" s="60"/>
      <c r="L133" s="60"/>
      <c r="M133" s="60"/>
      <c r="N133" s="80">
        <v>0</v>
      </c>
      <c r="O133" s="80">
        <f ca="1">IF(AND($D$132="YES",$F$132="PY"),ROUND($G133*0.75*J133*(1+E133)/9*(Worksheet!D27+Worksheet!D28),0),(IF(AND($D$132="NO",$F$132="PY"),ROUND($G133*J133*(1+E133)/9*(Worksheet!D27+Worksheet!D28),0),Worksheet!F166)))</f>
        <v>0</v>
      </c>
      <c r="P133" s="80">
        <f ca="1">IF(AND($D$132="YES",$F$132="PY"),ROUND(($G133*0.75*K133*((1+E133)^2))/9*(Worksheet!E27+Worksheet!E28),0),(IF(AND($D$132="NO",$F$132="PY"),ROUND($G133*K133*((1+E133)^2)/9*(Worksheet!E27+Worksheet!E28),0),Worksheet!G166)))</f>
        <v>0</v>
      </c>
      <c r="Q133" s="80">
        <f ca="1">IF(AND($D$132="YES",$F$132="PY"),ROUND($G133*0.75*L133*((1+E133)^3)/9*(Worksheet!F27+Worksheet!F28),0),(IF(AND($D$132="NO",$F$132="PY"),ROUND($G133*L133*((1+E133)^3)/9*(Worksheet!F27+Worksheet!F28),0),Worksheet!H166)))</f>
        <v>0</v>
      </c>
      <c r="R133" s="80">
        <f ca="1">IF(AND($D$132="YES",$F$132="PY"),ROUND($G133*0.75*M133*((1+E133)^4)/9*(Worksheet!G27+Worksheet!G28),0),(IF(AND($D$132="NO",$F$132="PY"),ROUND($G133*M133*((1+E133)^4)/9*(Worksheet!G27+Worksheet!G28),0),Worksheet!I166)))</f>
        <v>0</v>
      </c>
      <c r="S133" s="80">
        <f t="shared" ref="S133" ca="1" si="35">SUM(N133:R133)</f>
        <v>0</v>
      </c>
    </row>
    <row r="134" spans="1:20">
      <c r="A134" s="74"/>
      <c r="B134" s="232" t="s">
        <v>94</v>
      </c>
      <c r="C134" s="233"/>
      <c r="D134" s="253"/>
      <c r="E134" s="176">
        <v>0.1</v>
      </c>
      <c r="F134" s="253"/>
      <c r="G134" s="261">
        <f>16541/2</f>
        <v>8270.5</v>
      </c>
      <c r="H134" s="262"/>
      <c r="I134" s="60"/>
      <c r="J134" s="60"/>
      <c r="K134" s="60"/>
      <c r="L134" s="60"/>
      <c r="M134" s="60"/>
      <c r="N134" s="80">
        <f ca="1">IF(AND($D$132="YES",$F$132="PY"),ROUND($G134*0.75*I134/9*(Worksheet!C27+Worksheet!C28),0),(IF(AND($D$132="NO",$F$132="PY"),ROUND($G134*I134/9*(Worksheet!C27+Worksheet!C28),0),Worksheet!E167)))</f>
        <v>0</v>
      </c>
      <c r="O134" s="80">
        <f ca="1">IF(AND($D$132="YES",$F$132="PY"),ROUND($G134*0.75*J134*(1+E134)/9*(Worksheet!D27+Worksheet!D28),0),(IF(AND($D$132="NO",$F$132="PY"),ROUND($G134*J134*(1+E134)/9*(Worksheet!D27+Worksheet!D28),0),Worksheet!F167)))</f>
        <v>0</v>
      </c>
      <c r="P134" s="80">
        <f ca="1">IF(AND($D$132="YES",$F$132="PY"),ROUND($G134*0.75*K134*((1+E134)^2)/9*(Worksheet!E27+Worksheet!E28),0),(IF(AND($D$132="NO",$F$132="PY"),ROUND($G134*K134*((1+E134)^2)/9*(Worksheet!E27+Worksheet!E28),0),Worksheet!G167)))</f>
        <v>0</v>
      </c>
      <c r="Q134" s="80">
        <f ca="1">IF(AND($D$132="YES",$F$132="PY"),ROUND($G134*0.75*L134*((1+E134)^3)/9*(Worksheet!F27+Worksheet!F28),0),(IF(AND($D$132="NO",$F$132="PY"),ROUND($G134*L134*((1+E134)^3)/9*(Worksheet!F27+Worksheet!F28),0),Worksheet!H167)))</f>
        <v>0</v>
      </c>
      <c r="R134" s="80">
        <f ca="1">IF(AND($D$132="YES",$F$132="PY"),ROUND($G134*0.75*M134*((1+E134)^4)/9*(Worksheet!G27+Worksheet!G28),0),(IF(AND($D$132="NO",$F$132="PY"),ROUND($G134*M134*((1+E134)^4)/9*(Worksheet!G27+Worksheet!G28),0),Worksheet!I167)))</f>
        <v>0</v>
      </c>
      <c r="S134" s="80">
        <f ca="1">SUM(N134:R134)</f>
        <v>0</v>
      </c>
    </row>
    <row r="135" spans="1:20">
      <c r="A135" s="165" t="s">
        <v>176</v>
      </c>
      <c r="B135" s="66"/>
      <c r="C135" s="66"/>
      <c r="D135" s="66"/>
      <c r="E135" s="66"/>
      <c r="F135" s="66"/>
      <c r="G135" s="291" t="s">
        <v>135</v>
      </c>
      <c r="H135" s="292"/>
      <c r="I135" s="282" t="s">
        <v>189</v>
      </c>
      <c r="J135" s="283"/>
      <c r="K135" s="283"/>
      <c r="L135" s="283"/>
      <c r="M135" s="284"/>
      <c r="N135" s="67"/>
      <c r="O135" s="67"/>
      <c r="P135" s="67"/>
      <c r="Q135" s="67"/>
      <c r="R135" s="67"/>
      <c r="S135" s="67"/>
    </row>
    <row r="136" spans="1:20">
      <c r="A136" s="161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152"/>
      <c r="O136" s="152"/>
      <c r="P136" s="152"/>
      <c r="Q136" s="152"/>
      <c r="R136" s="152"/>
      <c r="S136" s="155">
        <f>SUM(N136:R136)</f>
        <v>0</v>
      </c>
    </row>
    <row r="137" spans="1:20">
      <c r="A137" s="161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152"/>
      <c r="O137" s="152"/>
      <c r="P137" s="152"/>
      <c r="Q137" s="152"/>
      <c r="R137" s="152"/>
      <c r="S137" s="155">
        <f>SUM(N137:R137)</f>
        <v>0</v>
      </c>
    </row>
    <row r="138" spans="1:20" hidden="1">
      <c r="A138" s="161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152"/>
      <c r="O138" s="152"/>
      <c r="P138" s="152"/>
      <c r="Q138" s="152"/>
      <c r="R138" s="152"/>
      <c r="S138" s="155">
        <f>SUM(N138:R138)</f>
        <v>0</v>
      </c>
    </row>
    <row r="139" spans="1:20" hidden="1">
      <c r="A139" s="161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152"/>
      <c r="O139" s="152"/>
      <c r="P139" s="152"/>
      <c r="Q139" s="152"/>
      <c r="R139" s="152"/>
      <c r="S139" s="155">
        <f>SUM(N139:R139)</f>
        <v>0</v>
      </c>
    </row>
    <row r="140" spans="1:20" hidden="1">
      <c r="A140" s="161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152"/>
      <c r="O140" s="152"/>
      <c r="P140" s="152"/>
      <c r="Q140" s="152"/>
      <c r="R140" s="152"/>
      <c r="S140" s="155">
        <f>SUM(N140:R140)</f>
        <v>0</v>
      </c>
    </row>
    <row r="141" spans="1:20">
      <c r="A141" s="72" t="s">
        <v>96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71"/>
      <c r="N141" s="153"/>
      <c r="O141" s="153"/>
      <c r="P141" s="153"/>
      <c r="Q141" s="153"/>
      <c r="R141" s="153"/>
      <c r="S141" s="153"/>
    </row>
    <row r="142" spans="1:20">
      <c r="A142" s="161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155"/>
      <c r="O142" s="155"/>
      <c r="P142" s="155"/>
      <c r="Q142" s="155"/>
      <c r="R142" s="155"/>
      <c r="S142" s="155">
        <f t="shared" ref="S142:S149" si="36">SUM(N142:R142)</f>
        <v>0</v>
      </c>
    </row>
    <row r="143" spans="1:20">
      <c r="A143" s="161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155"/>
      <c r="O143" s="155"/>
      <c r="P143" s="155"/>
      <c r="Q143" s="155"/>
      <c r="R143" s="155"/>
      <c r="S143" s="155">
        <f t="shared" si="36"/>
        <v>0</v>
      </c>
    </row>
    <row r="144" spans="1:20">
      <c r="A144" s="161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155"/>
      <c r="O144" s="155"/>
      <c r="P144" s="155"/>
      <c r="Q144" s="155"/>
      <c r="R144" s="155"/>
      <c r="S144" s="155">
        <f t="shared" si="36"/>
        <v>0</v>
      </c>
    </row>
    <row r="145" spans="1:19" hidden="1">
      <c r="A145" s="161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155"/>
      <c r="O145" s="155"/>
      <c r="P145" s="155"/>
      <c r="Q145" s="155"/>
      <c r="R145" s="155"/>
      <c r="S145" s="155">
        <f t="shared" si="36"/>
        <v>0</v>
      </c>
    </row>
    <row r="146" spans="1:19" hidden="1">
      <c r="A146" s="161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155"/>
      <c r="O146" s="155"/>
      <c r="P146" s="155"/>
      <c r="Q146" s="155"/>
      <c r="R146" s="155"/>
      <c r="S146" s="155">
        <f t="shared" si="36"/>
        <v>0</v>
      </c>
    </row>
    <row r="147" spans="1:19" hidden="1">
      <c r="A147" s="161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155"/>
      <c r="O147" s="155"/>
      <c r="P147" s="155"/>
      <c r="Q147" s="155"/>
      <c r="R147" s="155"/>
      <c r="S147" s="155">
        <f t="shared" si="36"/>
        <v>0</v>
      </c>
    </row>
    <row r="148" spans="1:19" hidden="1">
      <c r="A148" s="161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155"/>
      <c r="O148" s="155"/>
      <c r="P148" s="155"/>
      <c r="Q148" s="155"/>
      <c r="R148" s="155"/>
      <c r="S148" s="155">
        <f t="shared" si="36"/>
        <v>0</v>
      </c>
    </row>
    <row r="149" spans="1:19" hidden="1">
      <c r="A149" s="161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155"/>
      <c r="O149" s="155"/>
      <c r="P149" s="155"/>
      <c r="Q149" s="155"/>
      <c r="R149" s="155"/>
      <c r="S149" s="155">
        <f t="shared" si="36"/>
        <v>0</v>
      </c>
    </row>
    <row r="150" spans="1:19">
      <c r="A150" s="72" t="s">
        <v>97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71"/>
      <c r="N150" s="153"/>
      <c r="O150" s="153"/>
      <c r="P150" s="153"/>
      <c r="Q150" s="153"/>
      <c r="R150" s="153"/>
      <c r="S150" s="153"/>
    </row>
    <row r="151" spans="1:19">
      <c r="A151" s="161"/>
      <c r="B151" s="68" t="s">
        <v>201</v>
      </c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152">
        <v>2000</v>
      </c>
      <c r="O151" s="152">
        <v>2000</v>
      </c>
      <c r="P151" s="152">
        <v>2000</v>
      </c>
      <c r="Q151" s="152"/>
      <c r="R151" s="152"/>
      <c r="S151" s="155">
        <f t="shared" ref="S151:S159" si="37">SUM(N151:R151)</f>
        <v>6000</v>
      </c>
    </row>
    <row r="152" spans="1:19">
      <c r="A152" s="161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152"/>
      <c r="O152" s="152"/>
      <c r="P152" s="152"/>
      <c r="Q152" s="152"/>
      <c r="R152" s="152"/>
      <c r="S152" s="155">
        <f t="shared" si="37"/>
        <v>0</v>
      </c>
    </row>
    <row r="153" spans="1:19">
      <c r="A153" s="161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152"/>
      <c r="O153" s="152"/>
      <c r="P153" s="152"/>
      <c r="Q153" s="152"/>
      <c r="R153" s="152"/>
      <c r="S153" s="155">
        <f t="shared" si="37"/>
        <v>0</v>
      </c>
    </row>
    <row r="154" spans="1:19">
      <c r="A154" s="161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152"/>
      <c r="O154" s="152"/>
      <c r="P154" s="152"/>
      <c r="Q154" s="152"/>
      <c r="R154" s="152"/>
      <c r="S154" s="155">
        <f t="shared" si="37"/>
        <v>0</v>
      </c>
    </row>
    <row r="155" spans="1:19" hidden="1">
      <c r="A155" s="161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152"/>
      <c r="O155" s="152"/>
      <c r="P155" s="152"/>
      <c r="Q155" s="152"/>
      <c r="R155" s="152"/>
      <c r="S155" s="155">
        <f t="shared" si="37"/>
        <v>0</v>
      </c>
    </row>
    <row r="156" spans="1:19" hidden="1">
      <c r="A156" s="161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152"/>
      <c r="O156" s="152"/>
      <c r="P156" s="152"/>
      <c r="Q156" s="152"/>
      <c r="R156" s="152"/>
      <c r="S156" s="155">
        <f t="shared" si="37"/>
        <v>0</v>
      </c>
    </row>
    <row r="157" spans="1:19" hidden="1">
      <c r="A157" s="16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152"/>
      <c r="O157" s="152"/>
      <c r="P157" s="152"/>
      <c r="Q157" s="152"/>
      <c r="R157" s="152"/>
      <c r="S157" s="155">
        <f t="shared" si="37"/>
        <v>0</v>
      </c>
    </row>
    <row r="158" spans="1:19" hidden="1">
      <c r="A158" s="161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152"/>
      <c r="O158" s="152"/>
      <c r="P158" s="152"/>
      <c r="Q158" s="152"/>
      <c r="R158" s="152"/>
      <c r="S158" s="155">
        <f t="shared" si="37"/>
        <v>0</v>
      </c>
    </row>
    <row r="159" spans="1:19">
      <c r="A159" s="166" t="s">
        <v>98</v>
      </c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71"/>
      <c r="N159" s="158">
        <f ca="1">SUM(N132:N158)</f>
        <v>15646</v>
      </c>
      <c r="O159" s="158">
        <f t="shared" ref="O159:R159" ca="1" si="38">SUM(O132:O158)</f>
        <v>17010.599999999999</v>
      </c>
      <c r="P159" s="158">
        <f t="shared" ca="1" si="38"/>
        <v>18511.66</v>
      </c>
      <c r="Q159" s="158">
        <f t="shared" ca="1" si="38"/>
        <v>0</v>
      </c>
      <c r="R159" s="158">
        <f t="shared" ca="1" si="38"/>
        <v>0</v>
      </c>
      <c r="S159" s="171">
        <f t="shared" ca="1" si="37"/>
        <v>51168.259999999995</v>
      </c>
    </row>
    <row r="161" spans="1:19">
      <c r="A161" s="166" t="s">
        <v>99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71"/>
      <c r="N161" s="78">
        <f ca="1">N60+N72+N84+N96+N114+N126+N159</f>
        <v>102990</v>
      </c>
      <c r="O161" s="78">
        <f t="shared" ref="O161:R161" ca="1" si="39">O60+O72+O84+O96+O114+O126+O159</f>
        <v>108005.6</v>
      </c>
      <c r="P161" s="78">
        <f t="shared" ca="1" si="39"/>
        <v>109835.66</v>
      </c>
      <c r="Q161" s="78">
        <f t="shared" ca="1" si="39"/>
        <v>0</v>
      </c>
      <c r="R161" s="78">
        <f t="shared" ca="1" si="39"/>
        <v>0</v>
      </c>
      <c r="S161" s="78">
        <f ca="1">SUM(N161:R161)</f>
        <v>320831.26</v>
      </c>
    </row>
    <row r="162" spans="1:19">
      <c r="A162" s="79" t="s">
        <v>100</v>
      </c>
      <c r="B162" s="68"/>
      <c r="C162" s="68"/>
      <c r="D162" s="235" t="s">
        <v>103</v>
      </c>
      <c r="E162" s="250"/>
      <c r="F162" s="231" t="s">
        <v>105</v>
      </c>
      <c r="G162" s="232"/>
      <c r="H162" s="232"/>
      <c r="I162" s="232"/>
      <c r="J162" s="232"/>
      <c r="K162" s="232"/>
      <c r="L162" s="232"/>
      <c r="M162" s="233"/>
      <c r="N162" s="80">
        <f ca="1">IF($H$164&lt;&gt;"Custom",(IF(F162&lt;&gt;Worksheet!A91,Worksheet!C157,IF(Request!H164="MTDC",Worksheet!C157,IF(Request!H164="TDC",Worksheet!C158,IF(Request!H164="TC",Worksheet!C159))))),0)</f>
        <v>89344</v>
      </c>
      <c r="O162" s="80">
        <f ca="1">IF($H$164&lt;&gt;"Custom",IF($F$162&lt;&gt;Worksheet!$A$91,Worksheet!D157,IF(Request!$H$164="MTDC",Worksheet!D157,IF(Request!$H$164="TDC",Worksheet!D158,IF(Request!$H$164="TC",Worksheet!D159)))),0)</f>
        <v>92995</v>
      </c>
      <c r="P162" s="80">
        <f ca="1">IF($H$164&lt;&gt;"Custom",IF($F$162&lt;&gt;Worksheet!$A$91,Worksheet!E157,IF(Request!$H$164="MTDC",Worksheet!E157,IF(Request!$H$164="TDC",Worksheet!E158,IF(Request!$H$164="TC",Worksheet!E159)))),0)</f>
        <v>93324</v>
      </c>
      <c r="Q162" s="80">
        <f>IF($H$164&lt;&gt;"Custom",IF($F$162&lt;&gt;Worksheet!$A$91,Worksheet!F157,IF(Request!$H$164="MTDC",Worksheet!F157,IF(Request!$H$164="TDC",Worksheet!F158,IF(Request!$H$164="TC",Worksheet!F159)))),0)</f>
        <v>0</v>
      </c>
      <c r="R162" s="80">
        <f>IF($H$164&lt;&gt;"Custom",IF($F$162&lt;&gt;Worksheet!$A$91,Worksheet!G157,IF(Request!$H$164="MTDC",Worksheet!G157,IF(Request!$H$164="TDC",Worksheet!G158,IF(Request!$H$164="TC",Worksheet!G159)))),0)</f>
        <v>0</v>
      </c>
      <c r="S162" s="155">
        <f ca="1">SUM(N162:R162)</f>
        <v>275663</v>
      </c>
    </row>
    <row r="163" spans="1:19" hidden="1">
      <c r="A163" s="167" t="s">
        <v>118</v>
      </c>
      <c r="D163" s="81"/>
      <c r="E163" s="288" t="s">
        <v>119</v>
      </c>
      <c r="F163" s="289"/>
      <c r="G163" s="289"/>
      <c r="H163" s="289"/>
      <c r="I163" s="289"/>
      <c r="J163" s="289"/>
      <c r="K163" s="289"/>
      <c r="L163" s="289"/>
      <c r="M163" s="290"/>
      <c r="N163" s="190"/>
      <c r="O163" s="190"/>
      <c r="P163" s="190"/>
      <c r="Q163" s="190"/>
      <c r="R163" s="190"/>
      <c r="S163" s="152">
        <f>SUM(N163:R163)</f>
        <v>0</v>
      </c>
    </row>
    <row r="164" spans="1:19">
      <c r="A164" s="168" t="s">
        <v>101</v>
      </c>
      <c r="B164" s="82"/>
      <c r="C164" s="184"/>
      <c r="D164" s="184"/>
      <c r="E164" s="234" t="s">
        <v>114</v>
      </c>
      <c r="F164" s="235"/>
      <c r="G164" s="250"/>
      <c r="H164" s="286" t="s">
        <v>115</v>
      </c>
      <c r="I164" s="287"/>
      <c r="J164" s="234" t="s">
        <v>117</v>
      </c>
      <c r="K164" s="235"/>
      <c r="L164" s="285">
        <v>0.2</v>
      </c>
      <c r="M164" s="264"/>
      <c r="N164" s="83">
        <f ca="1">IF(Worksheet!C4="",0,(IF($H$164&lt;&gt;"Custom",(ROUND((((N162-SUM(N136:N140))/Worksheet!C5)*Worksheet!C9*Worksheet!B97)+((N162-SUM(N136:N140))/Worksheet!C5)*Worksheet!C10*Worksheet!C97+IF($I$135="Federal",(SUM(N136:N140)*Worksheet!B92),IF(Request!$I$135="Non-Federal",(SUM(Request!N136:N140)*Worksheet!B93))),0)),(ROUND((((N163-SUM(N136:N140))/Worksheet!C5)*Worksheet!C9*Worksheet!B97)+((N163-SUM(N136:N140))/Worksheet!C5)*Worksheet!C10*Worksheet!C97+IF($I$135="Federal",(SUM(N136:N140)*Worksheet!B92),IF(Request!$I$135="Non-Federal",(SUM(Request!N136:N140)*Worksheet!B93))),0)))))</f>
        <v>50554</v>
      </c>
      <c r="O164" s="83">
        <f ca="1">IF(Worksheet!D4="",0,(IF($H$164&lt;&gt;"Custom",(ROUND((((O162-SUM(O136:O140))/Worksheet!D5)*Worksheet!D9*Worksheet!D97)+((O162-SUM(O136:O140))/Worksheet!D5)*Worksheet!D10*Worksheet!E97+IF($I$135="Federal",(SUM(O136:O140)*Worksheet!C92),IF(Request!$I$135="Non-Federal",(SUM(Request!O136:O140)*Worksheet!C93))),0)),(ROUND((((O163-SUM(O136:O140))/Worksheet!D5)*Worksheet!D9*Worksheet!E97)+((O163-SUM(O136:O140))/Worksheet!D5)*Worksheet!D10*Worksheet!E97+IF($I$135="Federal",(SUM(O136:O140)*Worksheet!E92),IF(Request!$I$135="Non-Federal",(SUM(Request!O136:O140)*Worksheet!E93))),0)))))</f>
        <v>53007</v>
      </c>
      <c r="P164" s="83">
        <f ca="1">IF(Worksheet!E4="",0,(IF($H$164&lt;&gt;"Custom",(ROUND((((P162-SUM(P136:P140))/Worksheet!E5)*Worksheet!E9*Worksheet!F97)+((P162-SUM(P136:P140))/Worksheet!E5)*Worksheet!E10*Worksheet!F97+IF($I$135="Federal",(SUM(P136:P140)*Worksheet!F92),IF(Request!$I$135="Non-Federal",(SUM(Request!P136:P140)*Worksheet!F93))),0)),(ROUND((((P163-SUM(P136:P140))/Worksheet!E5)*Worksheet!E9*Worksheet!G97)+((P163-SUM(P136:P140))/Worksheet!E5)*Worksheet!E10*Worksheet!G97+IF($I$135="Federal",(SUM(P136:P140)*Worksheet!G92),IF(Request!$I$135="Non-Federal",(SUM(Request!P136:P140)*Worksheet!G93))),0)))))</f>
        <v>53195</v>
      </c>
      <c r="Q164" s="83">
        <f>IF(Worksheet!F4="",0,(IF($H$164&lt;&gt;"Custom",(ROUND((((Q162-SUM(Q136:Q140))/Worksheet!F5)*Worksheet!F9*Worksheet!H97)+((Q162-SUM(Q136:Q140))/Worksheet!F5)*Worksheet!F10*Worksheet!H97+IF($I$135="Federal",(SUM(Q136:Q140)*Worksheet!H92),IF(Request!$I$135="Non-Federal",(SUM(Request!Q136:Q140)*Worksheet!H93))),0)),(ROUND((((Q163-SUM(Q136:Q140))/Worksheet!F5)*Worksheet!F9*Worksheet!I97)+((Q163-SUM(Q136:Q140))/Worksheet!F5)*Worksheet!F10*Worksheet!I97+IF($I$135="Federal",(SUM(Q136:Q140)*Worksheet!I92),IF(Request!$I$135="Non-Federal",(SUM(Request!Q136:Q140)*Worksheet!I93))),0)))))</f>
        <v>0</v>
      </c>
      <c r="R164" s="83">
        <f>IF(Worksheet!G4="",0,(IF($H$164&lt;&gt;"Custom",(ROUND((((R162-SUM(R136:R140))/Worksheet!G5)*Worksheet!G9*Worksheet!J97)+((R162-SUM(R136:R140))/Worksheet!G5)*Worksheet!G10*Worksheet!G97+IF($I$135="Federal",(SUM(R136:R140)*Worksheet!J92),IF(Request!$I$135="Non-Federal",(SUM(Request!R136:R140)*Worksheet!J93))),0)),(ROUND((((R163-SUM(R136:R140))/Worksheet!G5)*Worksheet!G9*Worksheet!K97)+((R163-SUM(R136:R140))/Worksheet!G5)*Worksheet!G10*Worksheet!K97+IF($I$135="Federal",(SUM(R136:R140)*Worksheet!K92),IF(Request!$I$135="Non-Federal",(SUM(Request!R136:R140)*Worksheet!K93))),0)))))</f>
        <v>0</v>
      </c>
      <c r="S164" s="189">
        <f ca="1">SUM(N164:R164)</f>
        <v>156756</v>
      </c>
    </row>
    <row r="165" spans="1:19">
      <c r="A165" s="166" t="s">
        <v>102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84"/>
      <c r="M165" s="85"/>
      <c r="N165" s="86">
        <f t="shared" ref="N165:S165" ca="1" si="40">N161+N164</f>
        <v>153544</v>
      </c>
      <c r="O165" s="86">
        <f t="shared" ca="1" si="40"/>
        <v>161012.6</v>
      </c>
      <c r="P165" s="86">
        <f t="shared" ca="1" si="40"/>
        <v>163030.66</v>
      </c>
      <c r="Q165" s="86">
        <f t="shared" ca="1" si="40"/>
        <v>0</v>
      </c>
      <c r="R165" s="86">
        <f t="shared" ca="1" si="40"/>
        <v>0</v>
      </c>
      <c r="S165" s="86">
        <f t="shared" ca="1" si="40"/>
        <v>477587.26</v>
      </c>
    </row>
    <row r="166" spans="1:19">
      <c r="N166" s="59"/>
      <c r="O166" s="59"/>
      <c r="P166" s="59"/>
      <c r="Q166" s="59"/>
      <c r="R166" s="59"/>
    </row>
    <row r="167" spans="1:19">
      <c r="N167" s="61"/>
      <c r="O167" s="61"/>
      <c r="P167" s="61"/>
      <c r="Q167" s="61"/>
      <c r="R167" s="61"/>
    </row>
    <row r="168" spans="1:19">
      <c r="N168" s="61"/>
      <c r="O168" s="61"/>
      <c r="P168" s="61"/>
      <c r="Q168" s="61"/>
      <c r="R168" s="61"/>
    </row>
    <row r="169" spans="1:19">
      <c r="O169" s="61"/>
    </row>
    <row r="170" spans="1:19">
      <c r="N170" s="61"/>
    </row>
  </sheetData>
  <mergeCells count="208">
    <mergeCell ref="A59:M59"/>
    <mergeCell ref="A60:M60"/>
    <mergeCell ref="I135:M135"/>
    <mergeCell ref="L164:M164"/>
    <mergeCell ref="H164:I164"/>
    <mergeCell ref="J164:K164"/>
    <mergeCell ref="E164:G164"/>
    <mergeCell ref="E163:M163"/>
    <mergeCell ref="G135:H135"/>
    <mergeCell ref="A129:C129"/>
    <mergeCell ref="G131:H131"/>
    <mergeCell ref="K113:M113"/>
    <mergeCell ref="A62:C62"/>
    <mergeCell ref="A72:C72"/>
    <mergeCell ref="A74:C74"/>
    <mergeCell ref="A84:C84"/>
    <mergeCell ref="K98:M98"/>
    <mergeCell ref="K99:M99"/>
    <mergeCell ref="K100:M100"/>
    <mergeCell ref="K101:M101"/>
    <mergeCell ref="K102:M102"/>
    <mergeCell ref="K103:M103"/>
    <mergeCell ref="K104:M104"/>
    <mergeCell ref="K111:M111"/>
    <mergeCell ref="K112:M112"/>
    <mergeCell ref="A86:C86"/>
    <mergeCell ref="A96:C96"/>
    <mergeCell ref="K105:M105"/>
    <mergeCell ref="K106:M106"/>
    <mergeCell ref="K107:M107"/>
    <mergeCell ref="K108:M108"/>
    <mergeCell ref="K109:M109"/>
    <mergeCell ref="K110:M110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  <mergeCell ref="J52:K52"/>
    <mergeCell ref="J40:K40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H42:I42"/>
    <mergeCell ref="H43:I43"/>
    <mergeCell ref="H44:I44"/>
    <mergeCell ref="H45:I45"/>
    <mergeCell ref="H46:I46"/>
    <mergeCell ref="J41:K41"/>
    <mergeCell ref="J42:K42"/>
    <mergeCell ref="J43:K43"/>
    <mergeCell ref="J44:K44"/>
    <mergeCell ref="J45:K45"/>
    <mergeCell ref="J46:K46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F44:G44"/>
    <mergeCell ref="F45:G45"/>
    <mergeCell ref="F46:G46"/>
    <mergeCell ref="B48:C48"/>
    <mergeCell ref="B49:C49"/>
    <mergeCell ref="B50:C50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B51:C51"/>
    <mergeCell ref="B40:C40"/>
    <mergeCell ref="B41:C41"/>
    <mergeCell ref="F34:G34"/>
    <mergeCell ref="H34:I34"/>
    <mergeCell ref="J34:K34"/>
    <mergeCell ref="F35:G35"/>
    <mergeCell ref="F36:G36"/>
    <mergeCell ref="F37:G37"/>
    <mergeCell ref="F38:G38"/>
    <mergeCell ref="F39:G39"/>
    <mergeCell ref="F40:G40"/>
    <mergeCell ref="H41:I41"/>
    <mergeCell ref="H35:I35"/>
    <mergeCell ref="H36:I36"/>
    <mergeCell ref="H37:I37"/>
    <mergeCell ref="F41:G41"/>
    <mergeCell ref="H38:I38"/>
    <mergeCell ref="H39:I39"/>
    <mergeCell ref="H40:I40"/>
    <mergeCell ref="J35:K35"/>
    <mergeCell ref="J36:K36"/>
    <mergeCell ref="J37:K37"/>
    <mergeCell ref="J38:K38"/>
    <mergeCell ref="J39:K39"/>
    <mergeCell ref="F42:G42"/>
    <mergeCell ref="F43:G43"/>
    <mergeCell ref="P4:Q4"/>
    <mergeCell ref="B42:C42"/>
    <mergeCell ref="A31:M31"/>
    <mergeCell ref="F33:G33"/>
    <mergeCell ref="H33:I33"/>
    <mergeCell ref="J33:K33"/>
    <mergeCell ref="L33:M33"/>
    <mergeCell ref="F6:J6"/>
    <mergeCell ref="B8:C8"/>
    <mergeCell ref="B35:C35"/>
    <mergeCell ref="B36:C36"/>
    <mergeCell ref="B37:C37"/>
    <mergeCell ref="B38:C38"/>
    <mergeCell ref="B39:C39"/>
    <mergeCell ref="A34:C34"/>
    <mergeCell ref="L34:M34"/>
    <mergeCell ref="B25:D25"/>
    <mergeCell ref="B26:D26"/>
    <mergeCell ref="B27:D27"/>
    <mergeCell ref="B28:D28"/>
    <mergeCell ref="B29:D29"/>
    <mergeCell ref="B30:D30"/>
    <mergeCell ref="B13:D13"/>
    <mergeCell ref="B14:D14"/>
    <mergeCell ref="B15:D15"/>
    <mergeCell ref="B16:D16"/>
    <mergeCell ref="A98:C98"/>
    <mergeCell ref="A114:C114"/>
    <mergeCell ref="G132:H132"/>
    <mergeCell ref="G133:H133"/>
    <mergeCell ref="G134:H134"/>
    <mergeCell ref="B133:C133"/>
    <mergeCell ref="B134:C134"/>
    <mergeCell ref="D132:D134"/>
    <mergeCell ref="B43:C43"/>
    <mergeCell ref="B44:C44"/>
    <mergeCell ref="B45:C45"/>
    <mergeCell ref="B58:C58"/>
    <mergeCell ref="B52:C52"/>
    <mergeCell ref="B53:C53"/>
    <mergeCell ref="B54:C54"/>
    <mergeCell ref="B55:C55"/>
    <mergeCell ref="B56:C56"/>
    <mergeCell ref="B57:C57"/>
    <mergeCell ref="B46:C46"/>
    <mergeCell ref="B47:C47"/>
    <mergeCell ref="F1:S1"/>
    <mergeCell ref="D1:E1"/>
    <mergeCell ref="D2:E2"/>
    <mergeCell ref="F2:M2"/>
    <mergeCell ref="A4:J5"/>
    <mergeCell ref="K4:M5"/>
    <mergeCell ref="K74:M74"/>
    <mergeCell ref="F162:M162"/>
    <mergeCell ref="D162:E162"/>
    <mergeCell ref="F132:F134"/>
    <mergeCell ref="A131:D131"/>
    <mergeCell ref="B17:D17"/>
    <mergeCell ref="B18:D18"/>
    <mergeCell ref="B19:D19"/>
    <mergeCell ref="B20:D20"/>
    <mergeCell ref="B21:D21"/>
    <mergeCell ref="B22:D22"/>
    <mergeCell ref="B23:D23"/>
    <mergeCell ref="B24:D24"/>
    <mergeCell ref="B7:D7"/>
    <mergeCell ref="B9:D9"/>
    <mergeCell ref="B10:D10"/>
    <mergeCell ref="B11:D11"/>
    <mergeCell ref="B12:D12"/>
  </mergeCells>
  <conditionalFormatting sqref="M7:M30">
    <cfRule type="expression" dxfId="4" priority="7">
      <formula>$S$4="Multi"</formula>
    </cfRule>
  </conditionalFormatting>
  <conditionalFormatting sqref="A163:M163">
    <cfRule type="expression" dxfId="3" priority="10">
      <formula>$H$164&lt;&gt;"CUSTOM"</formula>
    </cfRule>
  </conditionalFormatting>
  <dataValidations count="11">
    <dataValidation type="list" allowBlank="1" showInputMessage="1" showErrorMessage="1" sqref="K7:K30">
      <formula1>"SMR,AY,CAL"</formula1>
    </dataValidation>
    <dataValidation type="list" allowBlank="1" showInputMessage="1" showErrorMessage="1" sqref="L7:L30">
      <formula1>"9,11,12"</formula1>
    </dataValidation>
    <dataValidation type="list" allowBlank="1" showInputMessage="1" showErrorMessage="1" sqref="S4">
      <formula1>"0%,1%,2%,3%,4%,5%,Multi"</formula1>
    </dataValidation>
    <dataValidation type="list" allowBlank="1" showInputMessage="1" showErrorMessage="1" sqref="R4">
      <formula1>"FY,PY"</formula1>
    </dataValidation>
    <dataValidation type="list" allowBlank="1" showInputMessage="1" showErrorMessage="1" sqref="M7:M30">
      <formula1>"0%,1%,2%,3%,4%,5%,6%"</formula1>
    </dataValidation>
    <dataValidation type="list" allowBlank="1" showInputMessage="1" showErrorMessage="1" sqref="D132 M75:M83">
      <formula1>"Yes,No"</formula1>
    </dataValidation>
    <dataValidation type="list" allowBlank="1" showInputMessage="1" showErrorMessage="1" sqref="E132:E134">
      <formula1>"0%,1%,2%,3%,4%,5%,6%,7%,8%,9%,10%"</formula1>
    </dataValidation>
    <dataValidation type="list" allowBlank="1" showInputMessage="1" showErrorMessage="1" sqref="F132">
      <formula1>"AY,PY"</formula1>
    </dataValidation>
    <dataValidation type="list" allowBlank="1" showInputMessage="1" showErrorMessage="1" sqref="I135:M135">
      <formula1>"Federal,Non-Federal"</formula1>
    </dataValidation>
    <dataValidation type="list" allowBlank="1" showInputMessage="1" showErrorMessage="1" sqref="H164">
      <formula1>"MTDC,TC,TDC,CUSTOM"</formula1>
    </dataValidation>
    <dataValidation type="list" allowBlank="1" showInputMessage="1" showErrorMessage="1" sqref="K99:K113 L99:M104 L111:M113">
      <formula1>"UC,Non-UC"</formula1>
    </dataValidation>
  </dataValidations>
  <printOptions horizontalCentered="1"/>
  <pageMargins left="0.2" right="0" top="0.25" bottom="0.25" header="0.05" footer="0.05"/>
  <pageSetup scale="96" fitToHeight="3" orientation="landscape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0CEDDFF-42CD-4F0F-A0F2-518C149CA4BC}">
            <xm:f>$F$162&lt;&gt;Worksheet!$A$91</xm:f>
            <x14:dxf>
              <font>
                <color theme="0"/>
              </font>
              <border>
                <left/>
                <right/>
                <top/>
                <bottom style="thin">
                  <color auto="1"/>
                </bottom>
                <vertical/>
                <horizontal/>
              </border>
            </x14:dxf>
          </x14:cfRule>
          <xm:sqref>H164:K164 E164</xm:sqref>
        </x14:conditionalFormatting>
        <x14:conditionalFormatting xmlns:xm="http://schemas.microsoft.com/office/excel/2006/main">
          <x14:cfRule type="expression" priority="14" id="{B78169D6-B527-4B73-A520-F786EBE79368}">
            <xm:f>$F$162&lt;&gt;Worksheet!$A$91</xm:f>
            <x14:dxf>
              <font>
                <color theme="0"/>
              </font>
              <border>
                <left/>
                <right style="thin">
                  <color auto="1"/>
                </right>
                <top/>
                <bottom style="thin">
                  <color auto="1"/>
                </bottom>
                <vertical/>
                <horizontal/>
              </border>
            </x14:dxf>
          </x14:cfRule>
          <xm:sqref>L164:M164</xm:sqref>
        </x14:conditionalFormatting>
        <x14:conditionalFormatting xmlns:xm="http://schemas.microsoft.com/office/excel/2006/main">
          <x14:cfRule type="expression" priority="15" id="{6C5B5434-2981-4A4B-AF8F-E7E0B6334870}">
            <xm:f>$F$162&lt;&gt;Worksheet!$A$91</xm:f>
            <x14:dxf>
              <font>
                <color theme="0"/>
              </font>
              <border>
                <left/>
                <bottom/>
                <vertical/>
                <horizontal/>
              </border>
            </x14:dxf>
          </x14:cfRule>
          <xm:sqref>E163:M163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Worksheet!$A$59:$A$71</xm:f>
          </x14:formula1>
          <xm:sqref>D35:D58</xm:sqref>
        </x14:dataValidation>
        <x14:dataValidation type="list" allowBlank="1" showInputMessage="1" showErrorMessage="1">
          <x14:formula1>
            <xm:f>Worksheet!$A$86:$A$91</xm:f>
          </x14:formula1>
          <xm:sqref>F162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G27" sqref="G27"/>
    </sheetView>
  </sheetViews>
  <sheetFormatPr baseColWidth="10" defaultColWidth="8.83203125" defaultRowHeight="13" x14ac:dyDescent="0"/>
  <cols>
    <col min="1" max="1" width="8.83203125" style="1"/>
    <col min="2" max="2" width="14.6640625" style="1" bestFit="1" customWidth="1"/>
    <col min="3" max="3" width="12" style="1" customWidth="1"/>
    <col min="4" max="4" width="8.83203125" style="1"/>
    <col min="5" max="5" width="5.5" style="1" customWidth="1"/>
    <col min="6" max="6" width="9.1640625" style="1" bestFit="1" customWidth="1"/>
    <col min="7" max="10" width="8.83203125" style="1"/>
    <col min="11" max="11" width="10" style="1" bestFit="1" customWidth="1"/>
    <col min="12" max="13" width="8.83203125" style="1"/>
    <col min="14" max="14" width="11.33203125" style="1" bestFit="1" customWidth="1"/>
    <col min="15" max="16384" width="8.83203125" style="1"/>
  </cols>
  <sheetData>
    <row r="2" spans="2:14">
      <c r="B2" s="305" t="s">
        <v>154</v>
      </c>
      <c r="C2" s="306"/>
      <c r="D2" s="306"/>
      <c r="E2" s="306"/>
      <c r="F2" s="306"/>
      <c r="G2" s="106"/>
      <c r="H2" s="106"/>
      <c r="I2" s="106"/>
      <c r="J2" s="106"/>
      <c r="K2" s="106"/>
      <c r="L2" s="106"/>
      <c r="M2" s="107"/>
    </row>
    <row r="3" spans="2:14">
      <c r="B3" s="108" t="s">
        <v>155</v>
      </c>
      <c r="C3" s="307" t="s">
        <v>156</v>
      </c>
      <c r="D3" s="307"/>
      <c r="E3" s="109"/>
      <c r="F3" s="307" t="s">
        <v>157</v>
      </c>
      <c r="G3" s="307"/>
      <c r="H3" s="110"/>
      <c r="I3" s="111" t="s">
        <v>158</v>
      </c>
      <c r="J3" s="112" t="s">
        <v>159</v>
      </c>
      <c r="K3" s="112" t="s">
        <v>160</v>
      </c>
      <c r="L3" s="112" t="s">
        <v>161</v>
      </c>
      <c r="M3" s="113" t="s">
        <v>162</v>
      </c>
    </row>
    <row r="4" spans="2:14">
      <c r="B4" s="108" t="s">
        <v>10</v>
      </c>
      <c r="C4" s="112"/>
      <c r="D4" s="112"/>
      <c r="E4" s="112"/>
      <c r="F4" s="112"/>
      <c r="G4" s="112"/>
      <c r="H4" s="109"/>
      <c r="I4" s="109"/>
      <c r="J4" s="109"/>
      <c r="K4" s="112"/>
      <c r="L4" s="112"/>
      <c r="M4" s="114"/>
      <c r="N4" s="146"/>
    </row>
    <row r="5" spans="2:14">
      <c r="B5" s="115" t="s">
        <v>163</v>
      </c>
      <c r="C5" s="300">
        <f>Request!C1</f>
        <v>42248</v>
      </c>
      <c r="D5" s="300"/>
      <c r="E5" s="147"/>
      <c r="F5" s="308">
        <f>IF(Worksheet!B97=Worksheet!C97,Worksheet!C3,(IF(AND('F&amp;A Details'!C5&lt;Worksheet!C8,(OR(Request!F162=Worksheet!A77,Request!F162=Worksheet!A78,Request!F162=Worksheet!A75))),DATE(YEAR(Worksheet!C8),MONTH(Worksheet!C8),DAY(Worksheet!C8)-1),Worksheet!C3)))</f>
        <v>42551</v>
      </c>
      <c r="G5" s="308"/>
      <c r="H5" s="309">
        <f ca="1">IF(AND(F5&lt;&gt;"",F5&lt;Worksheet!C3),(Request!N162-SUM(Request!N136:'Request'!N140))/Worksheet!C5*Worksheet!C6,Request!N162-SUM(Request!N136:'Request'!N140))</f>
        <v>74453.333333333328</v>
      </c>
      <c r="I5" s="309"/>
      <c r="J5" s="118">
        <f>Worksheet!B97</f>
        <v>0.56499999999999995</v>
      </c>
      <c r="K5" s="119">
        <f ca="1">ROUND(H5*J5,0)</f>
        <v>42066</v>
      </c>
      <c r="L5" s="120" t="str">
        <f>IF(Request!F162=Worksheet!A91,Request!H164,"MTDC")</f>
        <v>MTDC</v>
      </c>
      <c r="M5" s="121" t="b">
        <f ca="1">H5+H6+H7=Request!N162</f>
        <v>1</v>
      </c>
    </row>
    <row r="6" spans="2:14">
      <c r="B6" s="115" t="s">
        <v>164</v>
      </c>
      <c r="C6" s="300">
        <f>IF(F5&lt;Worksheet!C3,DATE(YEAR('F&amp;A Details'!F5),MONTH('F&amp;A Details'!F5),DAY('F&amp;A Details'!F5)+1),"")</f>
        <v>42552</v>
      </c>
      <c r="D6" s="300"/>
      <c r="E6" s="116"/>
      <c r="F6" s="310">
        <f>IF(F5&lt;Worksheet!C3,Worksheet!C3,"")</f>
        <v>42613</v>
      </c>
      <c r="G6" s="310"/>
      <c r="H6" s="311">
        <f ca="1">IF(F5&lt;Worksheet!C3,Request!N162-'F&amp;A Details'!H7-'F&amp;A Details'!H5,0)</f>
        <v>14890.666666666672</v>
      </c>
      <c r="I6" s="311"/>
      <c r="J6" s="118">
        <f ca="1">IF(H6&lt;&gt;0,Worksheet!C97,"")</f>
        <v>0.56999999999999995</v>
      </c>
      <c r="K6" s="119">
        <f ca="1">IF(H6&lt;&gt;0,Request!N164-'F&amp;A Details'!K5-'F&amp;A Details'!K7,0)</f>
        <v>8488</v>
      </c>
      <c r="L6" s="120" t="str">
        <f ca="1">IF(K6&lt;&gt;0,L5,"")</f>
        <v>MTDC</v>
      </c>
      <c r="M6" s="121" t="b">
        <f ca="1">K5+K6+K7=Request!N164</f>
        <v>1</v>
      </c>
    </row>
    <row r="7" spans="2:14">
      <c r="B7" s="122" t="s">
        <v>165</v>
      </c>
      <c r="C7" s="123"/>
      <c r="D7" s="124">
        <f>C5</f>
        <v>42248</v>
      </c>
      <c r="E7" s="123"/>
      <c r="F7" s="312">
        <f>Worksheet!C3</f>
        <v>42613</v>
      </c>
      <c r="G7" s="312"/>
      <c r="H7" s="319">
        <f>SUM(Request!N136:N140)</f>
        <v>0</v>
      </c>
      <c r="I7" s="319"/>
      <c r="J7" s="125">
        <f>IF(Request!I135="Federal",Worksheet!B92,Worksheet!B93)</f>
        <v>0.89</v>
      </c>
      <c r="K7" s="126">
        <f>ROUND(H7*J7,0)</f>
        <v>0</v>
      </c>
      <c r="L7" s="127"/>
      <c r="M7" s="128"/>
    </row>
    <row r="8" spans="2:14">
      <c r="B8" s="129" t="s">
        <v>11</v>
      </c>
      <c r="C8" s="130"/>
      <c r="D8" s="117"/>
      <c r="E8" s="116"/>
      <c r="F8" s="320"/>
      <c r="G8" s="320"/>
      <c r="H8" s="131"/>
      <c r="I8" s="131"/>
      <c r="K8" s="130"/>
      <c r="L8" s="120"/>
      <c r="M8" s="133"/>
    </row>
    <row r="9" spans="2:14">
      <c r="B9" s="115" t="s">
        <v>163</v>
      </c>
      <c r="C9" s="116"/>
      <c r="D9" s="117">
        <f>IF(Worksheet!D2&lt;&gt;"",Worksheet!D2,"")</f>
        <v>42614</v>
      </c>
      <c r="E9" s="116"/>
      <c r="F9" s="300">
        <f>IF(Worksheet!D97=Worksheet!E97,Worksheet!D3,(IF(AND('F&amp;A Details'!D9&lt;Worksheet!D8,(OR(Request!F162=Worksheet!A77,Request!F162=Worksheet!A78,Request!F162=Worksheet!A75))),DATE(YEAR(Worksheet!D8),MONTH(Worksheet!D8),DAY(Worksheet!D8)-1),Worksheet!D3)))</f>
        <v>42978</v>
      </c>
      <c r="G9" s="300"/>
      <c r="H9" s="311">
        <f ca="1">IF(AND(F9&lt;&gt;"",F9&lt;Worksheet!D3),(Request!O162-SUM(Request!O136:O140))/Worksheet!D5*Worksheet!D6,Request!O162-SUM(Request!O136:O140))</f>
        <v>92995</v>
      </c>
      <c r="I9" s="311"/>
      <c r="J9" s="148">
        <f>Worksheet!D97</f>
        <v>0.56999999999999995</v>
      </c>
      <c r="K9" s="119">
        <f ca="1">ROUND(H9*J9,0)</f>
        <v>53007</v>
      </c>
      <c r="L9" s="120" t="str">
        <f>IF(Request!F162=Worksheet!A91,Request!H164,"MTDC")</f>
        <v>MTDC</v>
      </c>
      <c r="M9" s="121" t="b">
        <f ca="1">H9+H10+H11=Request!O162</f>
        <v>1</v>
      </c>
    </row>
    <row r="10" spans="2:14">
      <c r="B10" s="115" t="s">
        <v>164</v>
      </c>
      <c r="C10" s="116"/>
      <c r="D10" s="117" t="str">
        <f>IF(F9&lt;Worksheet!D3,DATE(YEAR('F&amp;A Details'!F9),MONTH('F&amp;A Details'!F9),DAY('F&amp;A Details'!F9)+1),"")</f>
        <v/>
      </c>
      <c r="E10" s="116"/>
      <c r="F10" s="300" t="str">
        <f>IF(F9&lt;Worksheet!D3,Worksheet!D3,"")</f>
        <v/>
      </c>
      <c r="G10" s="300"/>
      <c r="H10" s="304">
        <f>IF(F9&lt;Worksheet!D3,Request!O162-'F&amp;A Details'!H11-'F&amp;A Details'!H9,0)</f>
        <v>0</v>
      </c>
      <c r="I10" s="304"/>
      <c r="J10" s="118" t="str">
        <f>IF(H10&lt;&gt;0,Worksheet!E97,"")</f>
        <v/>
      </c>
      <c r="K10" s="119">
        <f>IF(H10&lt;&gt;0,Request!O164-'F&amp;A Details'!K9-'F&amp;A Details'!K11,0)</f>
        <v>0</v>
      </c>
      <c r="L10" s="120" t="str">
        <f>IF(K10&lt;&gt;0,L9,"")</f>
        <v/>
      </c>
      <c r="M10" s="121" t="b">
        <f ca="1">K9+K10+K11=Request!O164</f>
        <v>1</v>
      </c>
    </row>
    <row r="11" spans="2:14">
      <c r="B11" s="122" t="s">
        <v>165</v>
      </c>
      <c r="C11" s="123"/>
      <c r="D11" s="124">
        <f>IF(D9&lt;&gt;"",D9,"")</f>
        <v>42614</v>
      </c>
      <c r="E11" s="123"/>
      <c r="F11" s="302">
        <f>Worksheet!D3</f>
        <v>42978</v>
      </c>
      <c r="G11" s="302"/>
      <c r="H11" s="303">
        <f>SUM(Request!O136:O140)</f>
        <v>0</v>
      </c>
      <c r="I11" s="303"/>
      <c r="J11" s="125">
        <f>IF(Request!I135="Federal",Worksheet!E92,Worksheet!E93)</f>
        <v>0.89</v>
      </c>
      <c r="K11" s="126">
        <f>ROUND(H11*J11,0)</f>
        <v>0</v>
      </c>
      <c r="L11" s="127"/>
      <c r="M11" s="128"/>
    </row>
    <row r="12" spans="2:14">
      <c r="B12" s="129" t="s">
        <v>12</v>
      </c>
      <c r="C12" s="130"/>
      <c r="D12" s="117"/>
      <c r="E12" s="116"/>
      <c r="F12" s="134"/>
      <c r="G12" s="130"/>
      <c r="H12" s="131"/>
      <c r="I12" s="131"/>
      <c r="J12" s="132"/>
      <c r="K12" s="130"/>
      <c r="L12" s="120"/>
      <c r="M12" s="133"/>
    </row>
    <row r="13" spans="2:14">
      <c r="B13" s="115" t="s">
        <v>163</v>
      </c>
      <c r="C13" s="116"/>
      <c r="D13" s="117">
        <f>IF(Worksheet!E2&lt;&gt;"",Worksheet!E2,"")</f>
        <v>42979</v>
      </c>
      <c r="E13" s="116"/>
      <c r="F13" s="300">
        <f>IF(Worksheet!F97=Worksheet!G97,Worksheet!E3,(IF(AND('F&amp;A Details'!D13&lt;Worksheet!E8,(OR(Request!F162=Worksheet!A77,Request!F162=Worksheet!A78,Request!F162=Worksheet!A75))),DATE(YEAR(Worksheet!E8),MONTH(Worksheet!E8),DAY(Worksheet!E8)-1),Worksheet!E3)))</f>
        <v>43343</v>
      </c>
      <c r="G13" s="300"/>
      <c r="H13" s="315">
        <f ca="1">IF(AND(F13&lt;&gt;"",F13&lt;Worksheet!E3),(Request!P162-SUM(Request!P136:P140))/Worksheet!E5*Worksheet!E6,Request!P162-SUM(Request!P136:P140))</f>
        <v>93324</v>
      </c>
      <c r="I13" s="315"/>
      <c r="J13" s="118">
        <f>Worksheet!F97</f>
        <v>0.56999999999999995</v>
      </c>
      <c r="K13" s="119">
        <f ca="1">ROUND(H13*J13,0)</f>
        <v>53195</v>
      </c>
      <c r="L13" s="120" t="str">
        <f>IF(Request!F162=Worksheet!A91,Request!H164,"MTDC")</f>
        <v>MTDC</v>
      </c>
      <c r="M13" s="121" t="b">
        <f ca="1">H13+H14+H15=Request!P162</f>
        <v>1</v>
      </c>
    </row>
    <row r="14" spans="2:14">
      <c r="B14" s="115" t="s">
        <v>164</v>
      </c>
      <c r="C14" s="116"/>
      <c r="D14" s="117" t="str">
        <f>IF(F13&lt;Worksheet!E3,DATE(YEAR('F&amp;A Details'!F13),MONTH('F&amp;A Details'!F13),DAY('F&amp;A Details'!F13)+1),"")</f>
        <v/>
      </c>
      <c r="E14" s="116"/>
      <c r="F14" s="300" t="str">
        <f>IF(F13&lt;Worksheet!E3,Worksheet!E3,"")</f>
        <v/>
      </c>
      <c r="G14" s="300"/>
      <c r="H14" s="315">
        <f>IF(F13&lt;Worksheet!E3,Request!P162-'F&amp;A Details'!H15-'F&amp;A Details'!H13,0)</f>
        <v>0</v>
      </c>
      <c r="I14" s="315"/>
      <c r="J14" s="118" t="str">
        <f>IF(H14&lt;&gt;0,Worksheet!G97,"")</f>
        <v/>
      </c>
      <c r="K14" s="119">
        <f>IF(H14&lt;&gt;0,Request!P164-'F&amp;A Details'!K13-'F&amp;A Details'!K15,0)</f>
        <v>0</v>
      </c>
      <c r="L14" s="120" t="str">
        <f>IF(K14&lt;&gt;0,L13,"")</f>
        <v/>
      </c>
      <c r="M14" s="121" t="b">
        <f ca="1">K13+K14+K15=Request!P164</f>
        <v>1</v>
      </c>
    </row>
    <row r="15" spans="2:14">
      <c r="B15" s="122" t="s">
        <v>165</v>
      </c>
      <c r="C15" s="123"/>
      <c r="D15" s="124">
        <f>IF(D13&lt;&gt;"",D13,"")</f>
        <v>42979</v>
      </c>
      <c r="E15" s="123"/>
      <c r="F15" s="302">
        <f>Worksheet!E3</f>
        <v>43343</v>
      </c>
      <c r="G15" s="302"/>
      <c r="H15" s="316">
        <f>SUM(Request!P136:P140)</f>
        <v>0</v>
      </c>
      <c r="I15" s="316"/>
      <c r="J15" s="125">
        <f>IF(Request!I135="Federal",Worksheet!E92,Worksheet!E93)</f>
        <v>0.89</v>
      </c>
      <c r="K15" s="126">
        <f>ROUND(H15*J15,0)</f>
        <v>0</v>
      </c>
      <c r="L15" s="127"/>
      <c r="M15" s="128"/>
    </row>
    <row r="16" spans="2:14">
      <c r="B16" s="129" t="s">
        <v>25</v>
      </c>
      <c r="C16" s="130"/>
      <c r="D16" s="117"/>
      <c r="E16" s="116"/>
      <c r="F16" s="130"/>
      <c r="G16" s="130"/>
      <c r="H16" s="131"/>
      <c r="I16" s="131"/>
      <c r="J16" s="132"/>
      <c r="K16" s="130"/>
      <c r="L16" s="120"/>
      <c r="M16" s="133"/>
    </row>
    <row r="17" spans="2:13">
      <c r="B17" s="135" t="s">
        <v>163</v>
      </c>
      <c r="C17" s="130"/>
      <c r="D17" s="134" t="str">
        <f>IF(Worksheet!F2&lt;&gt;"",Worksheet!F2,"")</f>
        <v/>
      </c>
      <c r="E17" s="116"/>
      <c r="F17" s="317" t="str">
        <f>IF(Worksheet!F3&lt;&gt;"",Worksheet!F3,"")</f>
        <v/>
      </c>
      <c r="G17" s="318"/>
      <c r="H17" s="301">
        <f>Request!Q162-'F&amp;A Details'!H18</f>
        <v>0</v>
      </c>
      <c r="I17" s="301"/>
      <c r="J17" s="136">
        <f>IF(H17&lt;&gt;0,Worksheet!H97,0)</f>
        <v>0</v>
      </c>
      <c r="K17" s="159">
        <f>ROUND(H17*J17,0)</f>
        <v>0</v>
      </c>
      <c r="L17" s="120" t="str">
        <f>IF(Request!F162=Worksheet!A91,Request!H164,"MTDC")</f>
        <v>MTDC</v>
      </c>
      <c r="M17" s="121" t="b">
        <f>H17+H18=Request!Q162</f>
        <v>1</v>
      </c>
    </row>
    <row r="18" spans="2:13">
      <c r="B18" s="137" t="s">
        <v>165</v>
      </c>
      <c r="C18" s="138"/>
      <c r="D18" s="139" t="str">
        <f>D17</f>
        <v/>
      </c>
      <c r="E18" s="123"/>
      <c r="F18" s="298" t="str">
        <f>Worksheet!F3</f>
        <v/>
      </c>
      <c r="G18" s="298"/>
      <c r="H18" s="299">
        <f>SUM(Request!Q136:Q140)</f>
        <v>0</v>
      </c>
      <c r="I18" s="299"/>
      <c r="J18" s="140">
        <f>IF(Request!I135="Federal",Worksheet!E92,Worksheet!E93)</f>
        <v>0.89</v>
      </c>
      <c r="K18" s="160">
        <f>Request!Q164-'F&amp;A Details'!K17</f>
        <v>0</v>
      </c>
      <c r="L18" s="127"/>
      <c r="M18" s="141" t="b">
        <f>K17+K18=Request!Q164</f>
        <v>1</v>
      </c>
    </row>
    <row r="19" spans="2:13">
      <c r="B19" s="129" t="s">
        <v>13</v>
      </c>
      <c r="C19" s="130"/>
      <c r="D19" s="117"/>
      <c r="E19" s="116"/>
      <c r="F19" s="130"/>
      <c r="G19" s="130"/>
      <c r="H19" s="131"/>
      <c r="I19" s="131"/>
      <c r="J19" s="132"/>
      <c r="K19" s="130"/>
      <c r="L19" s="120"/>
      <c r="M19" s="133"/>
    </row>
    <row r="20" spans="2:13">
      <c r="B20" s="135" t="s">
        <v>163</v>
      </c>
      <c r="C20" s="130"/>
      <c r="D20" s="134" t="str">
        <f>IF(Worksheet!G2&lt;&gt;"",Worksheet!G2,"")</f>
        <v/>
      </c>
      <c r="E20" s="116"/>
      <c r="F20" s="300" t="str">
        <f>IF(Worksheet!G3&lt;&gt;"",Worksheet!G3,"")</f>
        <v/>
      </c>
      <c r="G20" s="300"/>
      <c r="H20" s="301">
        <f>Request!R162-'F&amp;A Details'!H21</f>
        <v>0</v>
      </c>
      <c r="I20" s="301"/>
      <c r="J20" s="142">
        <f>IF(H20&lt;&gt;0,Worksheet!J97,0)</f>
        <v>0</v>
      </c>
      <c r="K20" s="119">
        <f>ROUND(H20*J20,0)</f>
        <v>0</v>
      </c>
      <c r="L20" s="120" t="str">
        <f>IF(Request!F162=Worksheet!A91,Request!H164,"MTDC")</f>
        <v>MTDC</v>
      </c>
      <c r="M20" s="121" t="b">
        <f>H20+H21=Request!R162</f>
        <v>1</v>
      </c>
    </row>
    <row r="21" spans="2:13">
      <c r="B21" s="137" t="s">
        <v>165</v>
      </c>
      <c r="C21" s="138"/>
      <c r="D21" s="139" t="str">
        <f>D20</f>
        <v/>
      </c>
      <c r="E21" s="123"/>
      <c r="F21" s="302" t="str">
        <f>Worksheet!G3</f>
        <v/>
      </c>
      <c r="G21" s="302"/>
      <c r="H21" s="299">
        <f>SUM(Request!R136:R140)</f>
        <v>0</v>
      </c>
      <c r="I21" s="299"/>
      <c r="J21" s="140">
        <f>IF(Request!I135="Federal",Worksheet!E92,Worksheet!E93)</f>
        <v>0.89</v>
      </c>
      <c r="K21" s="126">
        <f>Request!R164-'F&amp;A Details'!K20</f>
        <v>0</v>
      </c>
      <c r="L21" s="127"/>
      <c r="M21" s="143" t="b">
        <f>K20+K21=Request!R164</f>
        <v>1</v>
      </c>
    </row>
    <row r="22" spans="2:13">
      <c r="B22" s="313" t="s">
        <v>166</v>
      </c>
      <c r="C22" s="314"/>
      <c r="D22" s="314"/>
      <c r="E22" s="314"/>
      <c r="F22" s="314"/>
      <c r="G22" s="314"/>
      <c r="H22" s="314"/>
      <c r="I22" s="314"/>
      <c r="J22" s="314"/>
      <c r="K22" s="149">
        <f ca="1">SUM(K5:K21)</f>
        <v>156756</v>
      </c>
      <c r="L22" s="150"/>
      <c r="M22" s="144" t="b">
        <f ca="1">K22=Request!S164</f>
        <v>1</v>
      </c>
    </row>
    <row r="27" spans="2:13">
      <c r="E27" s="201"/>
    </row>
  </sheetData>
  <mergeCells count="33">
    <mergeCell ref="F21:G21"/>
    <mergeCell ref="H21:I21"/>
    <mergeCell ref="B22:J22"/>
    <mergeCell ref="C5:D5"/>
    <mergeCell ref="C6:D6"/>
    <mergeCell ref="H13:I13"/>
    <mergeCell ref="F14:G14"/>
    <mergeCell ref="H14:I14"/>
    <mergeCell ref="F15:G15"/>
    <mergeCell ref="H15:I15"/>
    <mergeCell ref="F17:G17"/>
    <mergeCell ref="H17:I17"/>
    <mergeCell ref="H7:I7"/>
    <mergeCell ref="F8:G8"/>
    <mergeCell ref="F9:G9"/>
    <mergeCell ref="H9:I9"/>
    <mergeCell ref="F10:G10"/>
    <mergeCell ref="H10:I10"/>
    <mergeCell ref="B2:F2"/>
    <mergeCell ref="C3:D3"/>
    <mergeCell ref="F3:G3"/>
    <mergeCell ref="F5:G5"/>
    <mergeCell ref="H5:I5"/>
    <mergeCell ref="F6:G6"/>
    <mergeCell ref="H6:I6"/>
    <mergeCell ref="F7:G7"/>
    <mergeCell ref="F18:G18"/>
    <mergeCell ref="H18:I18"/>
    <mergeCell ref="F20:G20"/>
    <mergeCell ref="H20:I20"/>
    <mergeCell ref="F11:G11"/>
    <mergeCell ref="H11:I11"/>
    <mergeCell ref="F13:G13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Request</vt:lpstr>
      <vt:lpstr>F&amp;A Details</vt:lpstr>
    </vt:vector>
  </TitlesOfParts>
  <Company>UCDavis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Bunn</dc:creator>
  <cp:lastModifiedBy>Paul</cp:lastModifiedBy>
  <cp:lastPrinted>2014-12-05T00:06:56Z</cp:lastPrinted>
  <dcterms:created xsi:type="dcterms:W3CDTF">2014-08-22T18:00:39Z</dcterms:created>
  <dcterms:modified xsi:type="dcterms:W3CDTF">2015-01-23T16:24:17Z</dcterms:modified>
</cp:coreProperties>
</file>