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620" yWindow="0" windowWidth="23300" windowHeight="1906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G7" i="1"/>
  <c r="K49" i="1"/>
  <c r="R36" i="2"/>
  <c r="R9" i="2"/>
  <c r="J52" i="1"/>
  <c r="K52" i="1"/>
  <c r="R37" i="2"/>
  <c r="R10" i="2"/>
  <c r="J53" i="1"/>
  <c r="K53" i="1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K50" i="1"/>
  <c r="R35" i="2"/>
  <c r="F4" i="1"/>
  <c r="F5" i="1"/>
  <c r="F8" i="1"/>
  <c r="F6" i="1"/>
  <c r="F9" i="1"/>
  <c r="F10" i="1"/>
  <c r="Q8" i="2"/>
  <c r="H49" i="1"/>
  <c r="F7" i="1"/>
  <c r="I49" i="1"/>
  <c r="Q36" i="2"/>
  <c r="Q9" i="2"/>
  <c r="H52" i="1"/>
  <c r="I52" i="1"/>
  <c r="Q37" i="2"/>
  <c r="Q10" i="2"/>
  <c r="H53" i="1"/>
  <c r="I53" i="1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I50" i="1"/>
  <c r="Q35" i="2"/>
  <c r="E4" i="1"/>
  <c r="E5" i="1"/>
  <c r="E8" i="1"/>
  <c r="E6" i="1"/>
  <c r="E9" i="1"/>
  <c r="E10" i="1"/>
  <c r="P8" i="2"/>
  <c r="E37" i="1"/>
  <c r="F49" i="1"/>
  <c r="E7" i="1"/>
  <c r="F37" i="1"/>
  <c r="G49" i="1"/>
  <c r="L213" i="1"/>
  <c r="G172" i="1"/>
  <c r="D172" i="1"/>
  <c r="J172" i="1"/>
  <c r="G200" i="1"/>
  <c r="G204" i="1"/>
  <c r="F213" i="1"/>
  <c r="F243" i="1"/>
  <c r="G213" i="1"/>
  <c r="G243" i="1"/>
  <c r="E40" i="1"/>
  <c r="F52" i="1"/>
  <c r="F56" i="1"/>
  <c r="F241" i="1"/>
  <c r="F40" i="1"/>
  <c r="G52" i="1"/>
  <c r="G56" i="1"/>
  <c r="G241" i="1"/>
  <c r="F296" i="1"/>
  <c r="P36" i="2"/>
  <c r="P9" i="2"/>
  <c r="P37" i="2"/>
  <c r="P10" i="2"/>
  <c r="E41" i="1"/>
  <c r="F53" i="1"/>
  <c r="F41" i="1"/>
  <c r="G53" i="1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E38" i="1"/>
  <c r="F50" i="1"/>
  <c r="F38" i="1"/>
  <c r="G50" i="1"/>
  <c r="L212" i="1"/>
  <c r="G171" i="1"/>
  <c r="D171" i="1"/>
  <c r="J171" i="1"/>
  <c r="F212" i="1"/>
  <c r="F242" i="1"/>
  <c r="G212" i="1"/>
  <c r="G242" i="1"/>
  <c r="F295" i="1"/>
  <c r="P35" i="2"/>
  <c r="D4" i="1"/>
  <c r="D5" i="1"/>
  <c r="D8" i="1"/>
  <c r="D6" i="1"/>
  <c r="D9" i="1"/>
  <c r="D10" i="1"/>
  <c r="O8" i="2"/>
  <c r="D49" i="1"/>
  <c r="D7" i="1"/>
  <c r="E49" i="1"/>
  <c r="C172" i="1"/>
  <c r="I172" i="1"/>
  <c r="F200" i="1"/>
  <c r="F204" i="1"/>
  <c r="D213" i="1"/>
  <c r="D243" i="1"/>
  <c r="E213" i="1"/>
  <c r="E243" i="1"/>
  <c r="D52" i="1"/>
  <c r="D56" i="1"/>
  <c r="D241" i="1"/>
  <c r="E52" i="1"/>
  <c r="E56" i="1"/>
  <c r="E241" i="1"/>
  <c r="D296" i="1"/>
  <c r="O36" i="2"/>
  <c r="O9" i="2"/>
  <c r="O37" i="2"/>
  <c r="O10" i="2"/>
  <c r="D53" i="1"/>
  <c r="E53" i="1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C171" i="1"/>
  <c r="I171" i="1"/>
  <c r="D212" i="1"/>
  <c r="D242" i="1"/>
  <c r="E212" i="1"/>
  <c r="E242" i="1"/>
  <c r="D295" i="1"/>
  <c r="O35" i="2"/>
  <c r="N7" i="2"/>
  <c r="B50" i="1"/>
  <c r="C7" i="1"/>
  <c r="C50" i="1"/>
  <c r="B171" i="1"/>
  <c r="H171" i="1"/>
  <c r="E200" i="1"/>
  <c r="E204" i="1"/>
  <c r="B212" i="1"/>
  <c r="B242" i="1"/>
  <c r="B52" i="1"/>
  <c r="B56" i="1"/>
  <c r="B241" i="1"/>
  <c r="C212" i="1"/>
  <c r="C242" i="1"/>
  <c r="C52" i="1"/>
  <c r="C56" i="1"/>
  <c r="C241" i="1"/>
  <c r="B295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F202" i="1"/>
  <c r="B97" i="1"/>
  <c r="J5" i="3"/>
  <c r="N2" i="2"/>
  <c r="D9" i="3"/>
  <c r="D11" i="3"/>
  <c r="D25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80" i="1"/>
  <c r="H180" i="1"/>
  <c r="B191" i="1"/>
  <c r="H191" i="1"/>
  <c r="B184" i="1"/>
  <c r="H184" i="1"/>
  <c r="C28" i="1"/>
  <c r="C30" i="1"/>
  <c r="C27" i="1"/>
  <c r="C29" i="1"/>
  <c r="O6" i="2"/>
  <c r="E206" i="1"/>
  <c r="C13" i="1"/>
  <c r="E198" i="1"/>
  <c r="D11" i="1"/>
  <c r="D12" i="1"/>
  <c r="D47" i="1"/>
  <c r="F11" i="3"/>
  <c r="D48" i="1"/>
  <c r="D55" i="1"/>
  <c r="D51" i="1"/>
  <c r="D26" i="1"/>
  <c r="D54" i="1"/>
  <c r="D88" i="1"/>
  <c r="D86" i="1"/>
  <c r="D89" i="1"/>
  <c r="C88" i="1"/>
  <c r="C89" i="1"/>
  <c r="C86" i="1"/>
  <c r="G202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83" i="1"/>
  <c r="I183" i="1"/>
  <c r="C194" i="1"/>
  <c r="I194" i="1"/>
  <c r="C187" i="1"/>
  <c r="I187" i="1"/>
  <c r="C191" i="1"/>
  <c r="I191" i="1"/>
  <c r="C179" i="1"/>
  <c r="I179" i="1"/>
  <c r="E33" i="2"/>
  <c r="O2" i="2"/>
  <c r="C14" i="1"/>
  <c r="P6" i="2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C64" i="1"/>
  <c r="C61" i="1"/>
  <c r="C65" i="1"/>
  <c r="E54" i="1"/>
  <c r="C66" i="1"/>
  <c r="E51" i="1"/>
  <c r="C63" i="1"/>
  <c r="C62" i="1"/>
  <c r="E48" i="1"/>
  <c r="C60" i="1"/>
  <c r="F55" i="1"/>
  <c r="F51" i="1"/>
  <c r="F47" i="1"/>
  <c r="F54" i="1"/>
  <c r="F48" i="1"/>
  <c r="E89" i="1"/>
  <c r="E88" i="1"/>
  <c r="E86" i="1"/>
  <c r="F86" i="1"/>
  <c r="F89" i="1"/>
  <c r="F88" i="1"/>
  <c r="H202" i="1"/>
  <c r="H200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D175" i="1"/>
  <c r="J175" i="1"/>
  <c r="D179" i="1"/>
  <c r="J179" i="1"/>
  <c r="D183" i="1"/>
  <c r="J183" i="1"/>
  <c r="D187" i="1"/>
  <c r="J187" i="1"/>
  <c r="D191" i="1"/>
  <c r="J19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86" i="1"/>
  <c r="J186" i="1"/>
  <c r="E27" i="1"/>
  <c r="P2" i="2"/>
  <c r="C68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1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D68" i="1"/>
  <c r="G51" i="1"/>
  <c r="D63" i="1"/>
  <c r="G54" i="1"/>
  <c r="D66" i="1"/>
  <c r="G55" i="1"/>
  <c r="D67" i="1"/>
  <c r="D65" i="1"/>
  <c r="D62" i="1"/>
  <c r="D61" i="1"/>
  <c r="G88" i="1"/>
  <c r="G86" i="1"/>
  <c r="G89" i="1"/>
  <c r="H97" i="1"/>
  <c r="I202" i="1"/>
  <c r="D280" i="1"/>
  <c r="C70" i="1"/>
  <c r="G206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I48" i="1"/>
  <c r="E60" i="1"/>
  <c r="E64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6" i="1"/>
  <c r="J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6" i="1"/>
  <c r="F246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49" i="1"/>
  <c r="C48" i="1"/>
  <c r="C51" i="1"/>
  <c r="C47" i="1"/>
  <c r="C55" i="1"/>
  <c r="B67" i="1"/>
  <c r="I218" i="1"/>
  <c r="I248" i="1"/>
  <c r="J214" i="1"/>
  <c r="J244" i="1"/>
  <c r="G219" i="1"/>
  <c r="G249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F64" i="1"/>
  <c r="K51" i="1"/>
  <c r="F63" i="1"/>
  <c r="K55" i="1"/>
  <c r="F67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G167" i="1"/>
  <c r="P134" i="2"/>
  <c r="I166" i="1"/>
  <c r="R133" i="2"/>
  <c r="E165" i="1"/>
  <c r="N51" i="2"/>
  <c r="S23" i="2"/>
  <c r="D315" i="1"/>
  <c r="H298" i="1"/>
  <c r="F315" i="1"/>
  <c r="D297" i="1"/>
  <c r="H296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S7" i="2"/>
  <c r="N31" i="2"/>
  <c r="F309" i="1"/>
  <c r="D310" i="1"/>
  <c r="D309" i="1"/>
  <c r="F301" i="1"/>
  <c r="H309" i="1"/>
  <c r="J312" i="1"/>
  <c r="D312" i="1"/>
  <c r="F308" i="1"/>
  <c r="H300" i="1"/>
  <c r="B296" i="1"/>
  <c r="N36" i="2"/>
  <c r="S8" i="2"/>
  <c r="H316" i="1"/>
  <c r="E166" i="1"/>
  <c r="H166" i="1"/>
  <c r="Q133" i="2"/>
  <c r="F165" i="1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<sst xmlns="http://schemas.openxmlformats.org/spreadsheetml/2006/main" count="406" uniqueCount="194">
  <si>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</si>
  <si>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</si>
  <si>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</si>
  <si>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</si>
  <si>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</si>
  <si>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</si>
  <si>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</si>
  <si>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</si>
  <si>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</si>
  <si>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</si>
  <si>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</si>
  <si>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</si>
  <si>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</si>
  <si>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</si>
  <si>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</si>
  <si>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</si>
  <si>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</si>
  <si>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</si>
  <si>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</si>
  <si>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</si>
  <si>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</si>
  <si>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</si>
  <si>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</si>
  <si>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</si>
  <si>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</si>
  <si>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</si>
  <si>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</si>
  <si>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</si>
  <si>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</si>
  <si>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</si>
  <si>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</si>
  <si>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</si>
  <si>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</si>
  <si>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</si>
  <si>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</si>
  <si>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</si>
  <si>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</si>
  <si>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</si>
  <si>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</si>
  <si>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</si>
  <si>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</si>
  <si>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</si>
  <si>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</si>
  <si>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</si>
  <si>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</si>
  <si>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</si>
  <si>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</si>
  <si>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</si>
  <si>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</si>
  <si>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</si>
  <si>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</si>
  <si>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</si>
  <si>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</si>
  <si>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</si>
  <si>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</si>
  <si>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</si>
  <si>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</si>
  <si>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</si>
  <si>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</si>
  <si>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</si>
  <si>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</si>
  <si>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</si>
  <si>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</si>
  <si>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</si>
  <si>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</si>
  <si>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</si>
  <si>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</si>
  <si>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</si>
  <si>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</si>
  <si>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</si>
  <si>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</si>
  <si>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</si>
  <si>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</si>
  <si>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</si>
  <si>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</si>
  <si>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</si>
  <si>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</si>
  <si>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</si>
  <si>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</si>
  <si>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</si>
  <si>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</si>
  <si>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</si>
  <si>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</si>
  <si>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</si>
  <si>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</si>
  <si>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</si>
  <si>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</si>
  <si>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</si>
  <si>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</si>
  <si>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</si>
  <si>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</si>
  <si>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</si>
  <si>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</si>
  <si>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</si>
  <si>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</si>
  <si>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</si>
  <si>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</si>
  <si>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</si>
  <si>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</si>
  <si>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</si>
  <si>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</si>
  <si>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</si>
  <si>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</si>
  <si>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</si>
  <si>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</si>
  <si>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</si>
  <si>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</si>
  <si>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</si>
  <si>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</si>
  <si>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</si>
  <si>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</si>
  <si>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</si>
  <si>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</si>
  <si>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</si>
  <si>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</si>
  <si>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</si>
  <si>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</si>
  <si>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</si>
  <si>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</si>
  <si>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</si>
  <si>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</si>
  <si>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</si>
  <si>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</si>
  <si>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</si>
  <si>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</si>
  <si>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</si>
  <si>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</si>
  <si>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</si>
  <si>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</si>
  <si>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</si>
  <si>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</si>
  <si>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</si>
  <si>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</si>
  <si>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</si>
  <si>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</si>
  <si>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</si>
  <si>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</si>
  <si>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</si>
  <si>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</si>
  <si>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</si>
  <si>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</si>
  <si>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</si>
  <si>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</si>
  <si>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</si>
  <si>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</si>
  <si>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</si>
  <si>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</si>
  <si>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</si>
  <si>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</si>
  <si>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</si>
  <si>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</si>
  <si>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</si>
  <si>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</si>
  <si>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</si>
  <si>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</si>
  <si>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</si>
  <si>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</si>
  <si>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</si>
  <si>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</si>
  <si>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</si>
  <si>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</si>
  <si>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</si>
  <si>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</si>
  <si>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</si>
  <si>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</si>
  <si>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</si>
  <si>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</si>
  <si>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</si>
  <si>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</si>
  <si>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</si>
  <si>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</si>
  <si>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</si>
  <si>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</si>
  <si>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</si>
  <si>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</si>
  <si>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</si>
  <si>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</si>
  <si>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</si>
  <si>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</si>
  <si>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</si>
  <si>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</si>
  <si>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</si>
  <si>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</si>
  <si>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</si>
  <si>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</si>
  <si>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</si>
  <si>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</si>
  <si>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</si>
  <si>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Yes</t>
  </si>
  <si>
    <t>Non-Federal</t>
  </si>
  <si>
    <t>Ullrich, Grotjahn</t>
  </si>
  <si>
    <t>TempestExtremes: Indicators of change in the characteristics of extreme weather</t>
  </si>
  <si>
    <t>Domestic conference</t>
  </si>
  <si>
    <t>Travel to UC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</si>
</sst>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  <numFmt numFmtId="172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2" fontId="2" fillId="2" borderId="4" xfId="1" applyNumberFormat="1" applyFont="1" applyFill="1" applyBorder="1" applyAlignment="1">
      <alignment horizontal="right"/>
    </xf>
    <xf numFmtId="171" fontId="2" fillId="2" borderId="4" xfId="2" applyNumberFormat="1" applyFont="1" applyFill="1" applyBorder="1"/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6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Followed Hyperlink" xfId="25" builtinId="9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43" workbookViewId="0">
      <selection activeCell="K161" sqref="K161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42248</v>
      </c>
      <c r="C2" s="5">
        <f>B2</f>
        <v>42248</v>
      </c>
      <c r="D2" s="5">
        <f>IF(C3&lt;B3,DATE(YEAR(C3),MONTH(C3),DAY(C3)+1),"")</f>
        <v>42614</v>
      </c>
      <c r="E2" s="5">
        <f>IF($D$3&lt;$B$3,DATE(YEAR(D3),MONTH(D3),DAY(D3)+1),"")</f>
        <v>42979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43343</v>
      </c>
      <c r="C3" s="5">
        <f>IF((DATE(YEAR(C2)+1,MONTH(C2),DAY(C2)-1))&gt;B3,B3,(DATE(YEAR(C2)+1,MONTH(C2),DAY(C2)-1)))</f>
        <v>42613</v>
      </c>
      <c r="D3" s="5">
        <f>IF(C3=B3,"",IF((DATE(YEAR(D2)+1,MONTH(D2),DAY(D2)-1))&gt;$B$3,$B$3,(DATE(YEAR(D2)+1,MONTH(D2),DAY(D2)-1))))</f>
        <v>42978</v>
      </c>
      <c r="E3" s="5">
        <f>IF(C3=B3,"",IF(D3=B3,"",IF((DATE(YEAR(E2)+1,MONTH(E2),DAY(E2)-1))&gt;$B$3,$B$3,(DATE(YEAR(E2)+1,MONTH(E2),DAY(E2)-1)))))</f>
        <v>43343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10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10</v>
      </c>
      <c r="E6" s="15">
        <f t="shared" si="0"/>
        <v>10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2</v>
      </c>
      <c r="D7" s="8">
        <f>IF(ROUND(D5-D6,2)&lt;0,0,ROUND(D5-D6,2))</f>
        <v>2</v>
      </c>
      <c r="E7" s="8">
        <f>IF(ROUND(E5-E6,2)&lt;0,0,ROUND(E5-E6,2))</f>
        <v>2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10</v>
      </c>
      <c r="D9" s="14">
        <f t="shared" ref="D9:E9" si="2">IF(D5&lt;D6,D5,IF(D5=D6,D5,IF(D5&gt;D6,D6)))</f>
        <v>10</v>
      </c>
      <c r="E9" s="14">
        <f t="shared" si="2"/>
        <v>10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2</v>
      </c>
      <c r="D10" s="7">
        <f>IF(D4="",0,ROUND(D5-D9,2))</f>
        <v>2</v>
      </c>
      <c r="E10" s="7">
        <f>IF(E4="",0,ROUND(E5-E9,2))</f>
        <v>2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1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1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1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2</v>
      </c>
      <c r="D12" s="7">
        <f>IF(D4="",0,3-D11)</f>
        <v>2</v>
      </c>
      <c r="E12" s="7">
        <f>IF(E4="",0,3-E11)</f>
        <v>2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1</v>
      </c>
      <c r="D13" s="92">
        <f>IF(D4="",0,IF(D9&gt;=D11,D11,D9))</f>
        <v>1</v>
      </c>
      <c r="E13" s="92">
        <f t="shared" ref="E13:G13" si="4">IF(E9&gt;=E11,E11,E9)</f>
        <v>1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2</v>
      </c>
      <c r="D14" s="92">
        <f t="shared" ref="D14:G14" si="5">IF(D10&gt;=D12,D12,D10)</f>
        <v>2</v>
      </c>
      <c r="E14" s="92">
        <f t="shared" si="5"/>
        <v>2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f ca="1">TODAY()</f>
        <v>42027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208">
        <f ca="1">ROUND(IF(B16="","",YEARFRAC(B15,(DATE(YEAR(B17),MONTH(B17),DAY(B17)+1)),1)*12),1)</f>
        <v>5.3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208">
        <f ca="1">ROUND(YEARFRAC(B15,(DATE(YEAR(B2),MONTH(B2),DAY(B2)+1)),1)*12,1)</f>
        <v>7.3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 ca="1">ROUND(IF(B16="","",YEARFRAC(B15,(DATE(YEAR(B21),MONTH(B21),DAY(B21)+1)),1)*12),1)</f>
        <v>7.3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 ca="1">ROUND(YEARFRAC(B15,(DATE(YEAR(B2),MONTH(B2),DAY(B2)+1)),1)*12,1)</f>
        <v>7.3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9" t="s">
        <v>10</v>
      </c>
      <c r="C45" s="230"/>
      <c r="D45" s="229" t="s">
        <v>11</v>
      </c>
      <c r="E45" s="230"/>
      <c r="F45" s="229" t="s">
        <v>12</v>
      </c>
      <c r="G45" s="230"/>
      <c r="H45" s="229" t="s">
        <v>25</v>
      </c>
      <c r="I45" s="230"/>
      <c r="J45" s="229" t="s">
        <v>13</v>
      </c>
      <c r="K45" s="230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179</v>
      </c>
      <c r="B69" s="200" t="str">
        <f>IF(C13&lt;=0.5,C56*100,B68)</f>
        <v>17/18</v>
      </c>
      <c r="C69" s="200" t="str">
        <f>IF(D13&lt;=0.5,E56*100,C68)</f>
        <v>18/18.5</v>
      </c>
      <c r="D69" s="200" t="str">
        <f>IF(E13&lt;=0.5,G56*100,D68)</f>
        <v>18.5/19.1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9" t="s">
        <v>10</v>
      </c>
      <c r="C84" s="230"/>
      <c r="D84" s="229" t="s">
        <v>11</v>
      </c>
      <c r="E84" s="230"/>
      <c r="F84" s="229" t="s">
        <v>12</v>
      </c>
      <c r="G84" s="230"/>
      <c r="H84" s="229" t="s">
        <v>25</v>
      </c>
      <c r="I84" s="230"/>
      <c r="J84" s="229" t="s">
        <v>13</v>
      </c>
      <c r="K84" s="230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>
      <c r="A95" s="1" t="s">
        <v>124</v>
      </c>
      <c r="B95" s="229" t="s">
        <v>10</v>
      </c>
      <c r="C95" s="230"/>
      <c r="D95" s="229" t="s">
        <v>11</v>
      </c>
      <c r="E95" s="230"/>
      <c r="F95" s="229" t="s">
        <v>12</v>
      </c>
      <c r="G95" s="230"/>
      <c r="H95" s="229" t="s">
        <v>25</v>
      </c>
      <c r="I95" s="230"/>
      <c r="J95" s="229" t="s">
        <v>13</v>
      </c>
      <c r="K95" s="230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9" t="s">
        <v>10</v>
      </c>
      <c r="C98" s="219"/>
      <c r="D98" s="219" t="s">
        <v>11</v>
      </c>
      <c r="E98" s="219"/>
      <c r="F98" s="219" t="s">
        <v>12</v>
      </c>
      <c r="G98" s="219"/>
      <c r="H98" s="217" t="s">
        <v>25</v>
      </c>
      <c r="I98" s="218"/>
      <c r="J98" s="220" t="s">
        <v>13</v>
      </c>
      <c r="K98" s="221"/>
    </row>
    <row r="99" spans="1:11">
      <c r="B99" s="224" t="str">
        <f>IF(B97=C97,B97*100&amp;"%",B97*100&amp;"%"&amp;"/"&amp;C97*100&amp;"%")</f>
        <v>56.5%/57%</v>
      </c>
      <c r="C99" s="224"/>
      <c r="D99" s="224" t="str">
        <f>IF(D97=E97,D97*100&amp;"%",D97*100&amp;"%"&amp;"/"&amp;E97*100&amp;"%")</f>
        <v>57%</v>
      </c>
      <c r="E99" s="224"/>
      <c r="F99" s="224" t="str">
        <f>IF(F97=G97,F97*100&amp;"%",F97*100&amp;"%"&amp;"/"&amp;G97*100&amp;"%")</f>
        <v>57%</v>
      </c>
      <c r="G99" s="224"/>
      <c r="H99" s="217" t="str">
        <f>IF(H97=I97,H97*100&amp;"%",H97*100&amp;"%"&amp;"/"&amp;I97*100&amp;"%")</f>
        <v>57%</v>
      </c>
      <c r="I99" s="218"/>
      <c r="J99" s="217" t="str">
        <f>IF(J97=K97,J97*100&amp;"%",J97*100&amp;"%"&amp;"/"&amp;K97*100&amp;"%")</f>
        <v>57%</v>
      </c>
      <c r="K99" s="218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3" t="s">
        <v>130</v>
      </c>
      <c r="B136" s="223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3" t="s">
        <v>130</v>
      </c>
      <c r="B154" s="223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2650</v>
      </c>
      <c r="D157" s="43">
        <f ca="1">IF(D4="",0,(Request!O60+Request!O84+Request!O96+Request!O126+SUM(Request!O136:O140)+SUM(Request!O151:O158)+Worksheet!D136))</f>
        <v>2650</v>
      </c>
      <c r="E157" s="43">
        <f ca="1">IF(E4="",0,(Request!P60+Request!P84+Request!P96+Request!P126+SUM(Request!P136:P140)+SUM(Request!P151:P158)+Worksheet!E136))</f>
        <v>2650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7950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 ca="1">Request!N161-Request!N114+Worksheet!C154</f>
        <v>2650</v>
      </c>
      <c r="D158" s="45">
        <f ca="1">IF(D4="",0,(Request!O161-Request!O114+Worksheet!D154))</f>
        <v>2650</v>
      </c>
      <c r="E158" s="45">
        <f ca="1">IF(E4="",0,(Request!P161-Request!P114+Worksheet!E154))</f>
        <v>2650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7950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 ca="1">ROUND((Request!N161-Request!N114+Worksheet!C154)/(1-Request!$L$164),0)</f>
        <v>3313</v>
      </c>
      <c r="D159" s="43">
        <f ca="1">IF(D4="",0,(ROUND((Request!O161-Request!O114+Worksheet!D154)/(1-Request!$L$164),0)))</f>
        <v>3313</v>
      </c>
      <c r="E159" s="43">
        <f ca="1">IF(E4="",0,(ROUND((Request!P161-Request!P114+Worksheet!E154)/(1-Request!$L$164),0)))</f>
        <v>3313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9939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>
        <f>Request!B7</f>
        <v>0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>
        <f>Request!B8</f>
        <v>0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0.74997000000000003</v>
      </c>
      <c r="I172" s="88">
        <f>IF(C172=0,(Request!G8*9),(Request!G8*C172))</f>
        <v>0.74997000000000003</v>
      </c>
      <c r="J172" s="88">
        <f>IF(D172=0,(Request!H8*9),(Request!H8*D172))</f>
        <v>0.74997000000000003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>
        <f>Request!B9</f>
        <v>0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5.5073699999999999</v>
      </c>
      <c r="I173" s="88">
        <f>IF(C173=0,(Request!G9*9),(Request!G9*C173))</f>
        <v>5.5073699999999999</v>
      </c>
      <c r="J173" s="88">
        <f>IF(D173=0,(Request!H9*9),(Request!H9*D173))</f>
        <v>5.5073699999999999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5.5073699999999999</v>
      </c>
      <c r="I174" s="88">
        <f>IF(C174=0,(Request!G10*9),(Request!G10*C174))</f>
        <v>5.5073699999999999</v>
      </c>
      <c r="J174" s="88">
        <f>IF(D174=0,(Request!H10*9),(Request!H10*D174))</f>
        <v>5.5073699999999999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7" t="s">
        <v>178</v>
      </c>
      <c r="B198" s="225" t="s">
        <v>182</v>
      </c>
      <c r="C198" s="225"/>
      <c r="D198" s="226"/>
      <c r="E198" s="203">
        <f>C13</f>
        <v>1</v>
      </c>
      <c r="F198" s="203">
        <f t="shared" ref="F198:H198" si="47">D13</f>
        <v>1</v>
      </c>
      <c r="G198" s="203">
        <f t="shared" si="47"/>
        <v>1</v>
      </c>
      <c r="H198" s="203">
        <f t="shared" si="47"/>
        <v>0</v>
      </c>
      <c r="I198" s="203">
        <f>G13</f>
        <v>0</v>
      </c>
    </row>
    <row r="199" spans="1:12">
      <c r="A199" s="228"/>
      <c r="B199" s="225" t="s">
        <v>183</v>
      </c>
      <c r="C199" s="225"/>
      <c r="D199" s="226"/>
      <c r="E199" s="203">
        <f>C14</f>
        <v>2</v>
      </c>
      <c r="F199" s="203">
        <f t="shared" ref="F199:H199" si="48">D14</f>
        <v>2</v>
      </c>
      <c r="G199" s="203">
        <f t="shared" si="48"/>
        <v>2</v>
      </c>
      <c r="H199" s="203">
        <f t="shared" si="48"/>
        <v>0</v>
      </c>
      <c r="I199" s="203">
        <f>G14</f>
        <v>0</v>
      </c>
    </row>
    <row r="200" spans="1:12">
      <c r="A200" s="227" t="s">
        <v>179</v>
      </c>
      <c r="B200" s="225" t="s">
        <v>182</v>
      </c>
      <c r="C200" s="225"/>
      <c r="D200" s="226"/>
      <c r="E200" s="4">
        <f>IF(AND(MONTH(C2)=9,DAY(C2)&lt;=5),0.5,IF(AND(MONTH(C2)=7,DAY(C2)&lt;=5),2.5,IF(AND(MONTH(C2)=7,DAY(C2)&gt;5),2,IF(AND(MONTH(C2)=8,DAY(C2)&lt;=5),1.5,IF(AND(MONTH(C2)=8,DAY(C2)&gt;5),1,0)))))</f>
        <v>0.5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0.5</v>
      </c>
      <c r="G200" s="4">
        <f t="shared" si="49"/>
        <v>0.5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>
      <c r="A201" s="228"/>
      <c r="B201" s="225" t="s">
        <v>183</v>
      </c>
      <c r="C201" s="225"/>
      <c r="D201" s="226"/>
      <c r="E201" s="4">
        <f>2.5-E200</f>
        <v>2</v>
      </c>
      <c r="F201" s="4">
        <f>IF(D4="",0,2.5-F200)</f>
        <v>2</v>
      </c>
      <c r="G201" s="4">
        <f t="shared" ref="G201:I201" si="50">IF(E4="",0,2.5-G200)</f>
        <v>2</v>
      </c>
      <c r="H201" s="4">
        <f t="shared" si="50"/>
        <v>0</v>
      </c>
      <c r="I201" s="4">
        <f t="shared" si="50"/>
        <v>0</v>
      </c>
    </row>
    <row r="202" spans="1:12">
      <c r="A202" s="227" t="s">
        <v>180</v>
      </c>
      <c r="B202" s="225" t="s">
        <v>182</v>
      </c>
      <c r="C202" s="225"/>
      <c r="D202" s="226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>
      <c r="A203" s="228"/>
      <c r="B203" s="225" t="s">
        <v>183</v>
      </c>
      <c r="C203" s="225"/>
      <c r="D203" s="226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>
      <c r="A204" s="227" t="s">
        <v>179</v>
      </c>
      <c r="B204" s="225" t="s">
        <v>184</v>
      </c>
      <c r="C204" s="225"/>
      <c r="D204" s="226"/>
      <c r="E204" s="205">
        <f>IF(E200&gt;C9,C9,E200)</f>
        <v>0.5</v>
      </c>
      <c r="F204" s="205">
        <f>IF(F200&gt;D9,D9,F200)</f>
        <v>0.5</v>
      </c>
      <c r="G204" s="205">
        <f t="shared" ref="G204:I204" si="53">IF(G200&gt;E9,E9,G200)</f>
        <v>0.5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28"/>
      <c r="B205" s="225" t="s">
        <v>185</v>
      </c>
      <c r="C205" s="225"/>
      <c r="D205" s="226"/>
      <c r="E205" s="205">
        <f>IF(E201&gt;C10,C10,E201)</f>
        <v>2</v>
      </c>
      <c r="F205" s="205">
        <f t="shared" ref="F205:I205" si="54">IF(F201&gt;D10,D10,F201)</f>
        <v>2</v>
      </c>
      <c r="G205" s="205">
        <f t="shared" si="54"/>
        <v>2</v>
      </c>
      <c r="H205" s="205">
        <f t="shared" si="54"/>
        <v>0</v>
      </c>
      <c r="I205" s="205">
        <f t="shared" si="54"/>
        <v>0</v>
      </c>
    </row>
    <row r="206" spans="1:12">
      <c r="A206" s="227" t="s">
        <v>180</v>
      </c>
      <c r="B206" s="225" t="s">
        <v>186</v>
      </c>
      <c r="C206" s="225"/>
      <c r="D206" s="226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>
      <c r="A207" s="228"/>
      <c r="B207" s="225" t="s">
        <v>185</v>
      </c>
      <c r="C207" s="225"/>
      <c r="D207" s="226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2" t="s">
        <v>10</v>
      </c>
      <c r="C211" s="222"/>
      <c r="D211" s="222" t="s">
        <v>11</v>
      </c>
      <c r="E211" s="222"/>
      <c r="F211" s="219" t="s">
        <v>12</v>
      </c>
      <c r="G211" s="219"/>
      <c r="H211" s="219" t="s">
        <v>25</v>
      </c>
      <c r="I211" s="219"/>
      <c r="J211" s="219" t="s">
        <v>13</v>
      </c>
      <c r="K211" s="219"/>
    </row>
    <row r="212" spans="1:12">
      <c r="A212" s="93">
        <f t="shared" ref="A212:A235" si="57">A171</f>
        <v>0</v>
      </c>
      <c r="B212" s="4">
        <f>IF(L212="A",IF(H171&lt;$E$198,H171,$E$198),IF(L212="B",IF(H171&lt;$E$204,H171,$E$204),IF(L212="C",IF(H171&lt;$E$206,H171,$E$206),IF(L212="D",0))))</f>
        <v>0.5</v>
      </c>
      <c r="C212" s="88">
        <f t="shared" ref="C212:C235" si="58">H171-B212</f>
        <v>0.24997000000000003</v>
      </c>
      <c r="D212" s="4">
        <f>IF(L212="A",IF(I171&lt;$F$198,I171,$F$198),IF(L212="B",IF(I171&lt;$F$204,I171,$F$204),IF(L212="C",IF(I171&lt;$F$206,I171,$F$206),IF(L212="D",0))))</f>
        <v>0.5</v>
      </c>
      <c r="E212" s="88">
        <f t="shared" ref="E212:E235" si="59">I171-D212</f>
        <v>0.24997000000000003</v>
      </c>
      <c r="F212" s="4">
        <f>IF(L212="A",IF(J171&lt;$G$198,J171,$G$198),IF(L212="B",IF(J171&lt;$G$204,J171,$G$204),IF(L212="C",IF(J171&lt;$G$206,J171,$G$206),IF(L212="D",0))))</f>
        <v>0.5</v>
      </c>
      <c r="G212" s="88">
        <f t="shared" ref="G212:G235" si="60">J171-F212</f>
        <v>0.24997000000000003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>
        <f t="shared" si="57"/>
        <v>0</v>
      </c>
      <c r="B213" s="4">
        <f t="shared" ref="B213:B235" si="63">IF(L213="A",IF(H172&lt;$E$198,H172,$E$198),IF(L213="B",IF(H172&lt;$E$204,H172,$E$204),IF(L213="C",IF(H172&lt;$E$206,H172,$E$206),IF(L213="D",0))))</f>
        <v>0.5</v>
      </c>
      <c r="C213" s="88">
        <f t="shared" si="58"/>
        <v>0.24997000000000003</v>
      </c>
      <c r="D213" s="4">
        <f t="shared" ref="D213:D235" si="64">IF(L213="A",IF(I172&lt;$F$198,I172,$F$198),IF(L213="B",IF(I172&lt;$F$204,I172,$F$204),IF(L213="C",IF(I172&lt;$F$206,I172,$F$206),IF(L213="D",0))))</f>
        <v>0.5</v>
      </c>
      <c r="E213" s="88">
        <f t="shared" si="59"/>
        <v>0.24997000000000003</v>
      </c>
      <c r="F213" s="4">
        <f t="shared" ref="F213:F235" si="65">IF(L213="A",IF(J172&lt;$G$198,J172,$G$198),IF(L213="B",IF(J172&lt;$G$204,J172,$G$204),IF(L213="C",IF(J172&lt;$G$206,J172,$G$206),IF(L213="D",0))))</f>
        <v>0.5</v>
      </c>
      <c r="G213" s="88">
        <f t="shared" si="60"/>
        <v>0.24997000000000003</v>
      </c>
      <c r="H213" s="4" t="e">
        <f t="shared" ref="H213:H235" si="66">IF(L213="A",IF(K172&lt;$H$198,K172,$H$198),IF(L213="B",IF(K172&lt;$H$204,K172,$H$204),IF(L213="C",IF(K172&lt;$H$206,K172,$H$206),IF(L213="D",0))))</f>
        <v>#VALUE!</v>
      </c>
      <c r="I213" s="88" t="e">
        <f t="shared" si="61"/>
        <v>#VALUE!</v>
      </c>
      <c r="J213" s="4" t="e">
        <f t="shared" ref="J213:J235" si="67">IF(L213="A",IF(L172&lt;$I$198,L172,$I$198),IF(L213="B",IF(L172&lt;$I$204,L172,$I$204),IF(L213="C",IF(L172&lt;$I$206,L172,$I$206),IF(L213="D",0))))</f>
        <v>#VALUE!</v>
      </c>
      <c r="K213" s="88" t="e">
        <f t="shared" si="62"/>
        <v>#VALUE!</v>
      </c>
      <c r="L213" s="1" t="str">
        <f>IF(Request!D36="F-SMRA","A",IF(Request!D36="F-SMRB","B",IF(Request!D36="F-SMRC","C","D")))</f>
        <v>B</v>
      </c>
    </row>
    <row r="214" spans="1:12">
      <c r="A214" s="94">
        <f t="shared" si="57"/>
        <v>0</v>
      </c>
      <c r="B214" s="4">
        <f t="shared" si="63"/>
        <v>0</v>
      </c>
      <c r="C214" s="88">
        <f t="shared" si="58"/>
        <v>5.5073699999999999</v>
      </c>
      <c r="D214" s="4">
        <f t="shared" si="64"/>
        <v>0</v>
      </c>
      <c r="E214" s="88">
        <f t="shared" si="59"/>
        <v>5.5073699999999999</v>
      </c>
      <c r="F214" s="4">
        <f t="shared" si="65"/>
        <v>0</v>
      </c>
      <c r="G214" s="88">
        <f t="shared" si="60"/>
        <v>5.5073699999999999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>
        <f t="shared" si="57"/>
        <v>0</v>
      </c>
      <c r="B215" s="4">
        <f t="shared" si="63"/>
        <v>0</v>
      </c>
      <c r="C215" s="88">
        <f t="shared" si="58"/>
        <v>5.5073699999999999</v>
      </c>
      <c r="D215" s="4">
        <f t="shared" si="64"/>
        <v>0</v>
      </c>
      <c r="E215" s="88">
        <f t="shared" si="59"/>
        <v>5.5073699999999999</v>
      </c>
      <c r="F215" s="4">
        <f t="shared" si="65"/>
        <v>0</v>
      </c>
      <c r="G215" s="88">
        <f t="shared" si="60"/>
        <v>5.5073699999999999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2" t="s">
        <v>10</v>
      </c>
      <c r="C240" s="212"/>
      <c r="D240" s="212" t="s">
        <v>11</v>
      </c>
      <c r="E240" s="212"/>
      <c r="F240" s="212" t="s">
        <v>12</v>
      </c>
      <c r="G240" s="212"/>
      <c r="H240" s="212" t="s">
        <v>25</v>
      </c>
      <c r="I240" s="212"/>
      <c r="J240" s="212" t="s">
        <v>13</v>
      </c>
      <c r="K240" s="212"/>
    </row>
    <row r="241" spans="1:11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>
        <f>A212</f>
        <v>0</v>
      </c>
      <c r="B242" s="4">
        <f>B212</f>
        <v>0.5</v>
      </c>
      <c r="C242" s="4">
        <f t="shared" ref="C242:K242" si="69">C212</f>
        <v>0.24997000000000003</v>
      </c>
      <c r="D242" s="4">
        <f t="shared" si="69"/>
        <v>0.5</v>
      </c>
      <c r="E242" s="4">
        <f t="shared" si="69"/>
        <v>0.24997000000000003</v>
      </c>
      <c r="F242" s="4">
        <f t="shared" si="69"/>
        <v>0.5</v>
      </c>
      <c r="G242" s="4">
        <f t="shared" si="69"/>
        <v>0.24997000000000003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>
        <f t="shared" ref="A243:K265" si="70">A213</f>
        <v>0</v>
      </c>
      <c r="B243" s="4">
        <f t="shared" si="70"/>
        <v>0.5</v>
      </c>
      <c r="C243" s="4">
        <f t="shared" si="70"/>
        <v>0.24997000000000003</v>
      </c>
      <c r="D243" s="4">
        <f t="shared" si="70"/>
        <v>0.5</v>
      </c>
      <c r="E243" s="4">
        <f t="shared" si="70"/>
        <v>0.24997000000000003</v>
      </c>
      <c r="F243" s="4">
        <f t="shared" si="70"/>
        <v>0.5</v>
      </c>
      <c r="G243" s="4">
        <f t="shared" si="70"/>
        <v>0.24997000000000003</v>
      </c>
      <c r="H243" s="4" t="e">
        <f t="shared" si="70"/>
        <v>#VALUE!</v>
      </c>
      <c r="I243" s="4" t="e">
        <f t="shared" si="70"/>
        <v>#VALUE!</v>
      </c>
      <c r="J243" s="4" t="e">
        <f t="shared" si="70"/>
        <v>#VALUE!</v>
      </c>
      <c r="K243" s="4" t="e">
        <f t="shared" si="70"/>
        <v>#VALUE!</v>
      </c>
    </row>
    <row r="244" spans="1:11">
      <c r="A244" s="93">
        <f t="shared" si="70"/>
        <v>0</v>
      </c>
      <c r="B244" s="4">
        <f t="shared" si="70"/>
        <v>0</v>
      </c>
      <c r="C244" s="4">
        <f t="shared" si="70"/>
        <v>5.5073699999999999</v>
      </c>
      <c r="D244" s="4">
        <f t="shared" si="70"/>
        <v>0</v>
      </c>
      <c r="E244" s="4">
        <f t="shared" si="70"/>
        <v>5.5073699999999999</v>
      </c>
      <c r="F244" s="4">
        <f t="shared" si="70"/>
        <v>0</v>
      </c>
      <c r="G244" s="4">
        <f t="shared" si="70"/>
        <v>5.5073699999999999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>
        <f t="shared" si="70"/>
        <v>0</v>
      </c>
      <c r="B245" s="4">
        <f t="shared" si="70"/>
        <v>0</v>
      </c>
      <c r="C245" s="4">
        <f t="shared" si="70"/>
        <v>5.5073699999999999</v>
      </c>
      <c r="D245" s="4">
        <f t="shared" si="70"/>
        <v>0</v>
      </c>
      <c r="E245" s="4">
        <f t="shared" si="70"/>
        <v>5.5073699999999999</v>
      </c>
      <c r="F245" s="4">
        <f t="shared" si="70"/>
        <v>0</v>
      </c>
      <c r="G245" s="4">
        <f t="shared" si="70"/>
        <v>5.5073699999999999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</row>
    <row r="269" spans="1:11">
      <c r="A269" s="101">
        <f>A242</f>
        <v>0</v>
      </c>
      <c r="B269" s="215" t="str">
        <f>IF(B$241=C$241,B$241*100,IF(C242=0,B$241*100,IF(B242=0,C$241*100,B$241*100&amp;"/"&amp;C$241*100)))</f>
        <v>17/18</v>
      </c>
      <c r="C269" s="216"/>
      <c r="D269" s="215" t="str">
        <f>IF(D$241=E$241,D$241*100,IF(E242=0,D$241*100,IF(D242=0,E$241*100,D$241*100&amp;"/"&amp;E$241*100)))</f>
        <v>18/18.5</v>
      </c>
      <c r="E269" s="216"/>
      <c r="F269" s="215" t="str">
        <f>IF(F$241=G$241,F$241*100,IF(G242=0,F$241*100,IF(F242=0,G$241*100,F$241*100&amp;"/"&amp;G$241*100)))</f>
        <v>18.5/19.1</v>
      </c>
      <c r="G269" s="216"/>
      <c r="H269" s="215">
        <f>IF(H$241=I$241,H$241*100,IF(I242=0,H$241*100,IF(H242=0,I$241*100,H$241*100&amp;"/"&amp;I$241*100)))</f>
        <v>0</v>
      </c>
      <c r="I269" s="216"/>
      <c r="J269" s="213">
        <f>IF(J$241=K$241,J$241*100,IF(K242=0,J$241*100,IF(J242=0,K$241*100,J$241*100&amp;"/"&amp;K$241*100)))</f>
        <v>0</v>
      </c>
      <c r="K269" s="214"/>
    </row>
    <row r="270" spans="1:11">
      <c r="A270" s="101">
        <f t="shared" ref="A270:A292" si="74">A243</f>
        <v>0</v>
      </c>
      <c r="B270" s="215" t="str">
        <f t="shared" ref="B270:B292" si="75">IF(B$241=C$241,B$241*100,IF(C243=0,B$241*100,IF(B243=0,C$241*100,B$241*100&amp;"/"&amp;C$241*100)))</f>
        <v>17/18</v>
      </c>
      <c r="C270" s="216"/>
      <c r="D270" s="215" t="str">
        <f t="shared" ref="D270:D292" si="76">IF(D$241=E$241,D$241*100,IF(E243=0,D$241*100,IF(D243=0,E$241*100,D$241*100&amp;"/"&amp;E$241*100)))</f>
        <v>18/18.5</v>
      </c>
      <c r="E270" s="216"/>
      <c r="F270" s="215" t="str">
        <f t="shared" ref="F270:F292" si="77">IF(F$241=G$241,F$241*100,IF(G243=0,F$241*100,IF(F243=0,G$241*100,F$241*100&amp;"/"&amp;G$241*100)))</f>
        <v>18.5/19.1</v>
      </c>
      <c r="G270" s="216"/>
      <c r="H270" s="215">
        <f t="shared" ref="H270:H292" si="78">IF(H$241=I$241,H$241*100,IF(I243=0,H$241*100,IF(H243=0,I$241*100,H$241*100&amp;"/"&amp;I$241*100)))</f>
        <v>0</v>
      </c>
      <c r="I270" s="216"/>
      <c r="J270" s="213">
        <f t="shared" ref="J270:J292" si="79">IF(J$241=K$241,J$241*100,IF(K243=0,J$241*100,IF(J243=0,K$241*100,J$241*100&amp;"/"&amp;K$241*100)))</f>
        <v>0</v>
      </c>
      <c r="K270" s="214"/>
    </row>
    <row r="271" spans="1:11">
      <c r="A271" s="101">
        <f t="shared" si="74"/>
        <v>0</v>
      </c>
      <c r="B271" s="215">
        <f t="shared" si="75"/>
        <v>18</v>
      </c>
      <c r="C271" s="216"/>
      <c r="D271" s="215">
        <f t="shared" si="76"/>
        <v>18.5</v>
      </c>
      <c r="E271" s="216"/>
      <c r="F271" s="215">
        <f t="shared" si="77"/>
        <v>19.100000000000001</v>
      </c>
      <c r="G271" s="216"/>
      <c r="H271" s="215">
        <f t="shared" si="78"/>
        <v>0</v>
      </c>
      <c r="I271" s="216"/>
      <c r="J271" s="213">
        <f t="shared" si="79"/>
        <v>0</v>
      </c>
      <c r="K271" s="214"/>
    </row>
    <row r="272" spans="1:11">
      <c r="A272" s="101">
        <f t="shared" si="74"/>
        <v>0</v>
      </c>
      <c r="B272" s="215">
        <f t="shared" si="75"/>
        <v>18</v>
      </c>
      <c r="C272" s="216"/>
      <c r="D272" s="215">
        <f t="shared" si="76"/>
        <v>18.5</v>
      </c>
      <c r="E272" s="216"/>
      <c r="F272" s="215">
        <f t="shared" si="77"/>
        <v>19.100000000000001</v>
      </c>
      <c r="G272" s="216"/>
      <c r="H272" s="215">
        <f t="shared" si="78"/>
        <v>0</v>
      </c>
      <c r="I272" s="216"/>
      <c r="J272" s="213">
        <f t="shared" si="79"/>
        <v>0</v>
      </c>
      <c r="K272" s="214"/>
    </row>
    <row r="273" spans="1:11">
      <c r="A273" s="101">
        <f t="shared" si="74"/>
        <v>0</v>
      </c>
      <c r="B273" s="215">
        <f t="shared" si="75"/>
        <v>17</v>
      </c>
      <c r="C273" s="216"/>
      <c r="D273" s="215">
        <f t="shared" si="76"/>
        <v>18</v>
      </c>
      <c r="E273" s="216"/>
      <c r="F273" s="215">
        <f t="shared" si="77"/>
        <v>18.5</v>
      </c>
      <c r="G273" s="216"/>
      <c r="H273" s="215">
        <f t="shared" si="78"/>
        <v>0</v>
      </c>
      <c r="I273" s="216"/>
      <c r="J273" s="213">
        <f t="shared" si="79"/>
        <v>0</v>
      </c>
      <c r="K273" s="214"/>
    </row>
    <row r="274" spans="1:11">
      <c r="A274" s="101">
        <f t="shared" si="74"/>
        <v>0</v>
      </c>
      <c r="B274" s="215">
        <f t="shared" si="75"/>
        <v>17</v>
      </c>
      <c r="C274" s="216"/>
      <c r="D274" s="215">
        <f t="shared" si="76"/>
        <v>18</v>
      </c>
      <c r="E274" s="216"/>
      <c r="F274" s="215">
        <f t="shared" si="77"/>
        <v>18.5</v>
      </c>
      <c r="G274" s="216"/>
      <c r="H274" s="215">
        <f t="shared" si="78"/>
        <v>0</v>
      </c>
      <c r="I274" s="216"/>
      <c r="J274" s="213">
        <f t="shared" si="79"/>
        <v>0</v>
      </c>
      <c r="K274" s="214"/>
    </row>
    <row r="275" spans="1:11">
      <c r="A275" s="101">
        <f t="shared" si="74"/>
        <v>0</v>
      </c>
      <c r="B275" s="215">
        <f t="shared" si="75"/>
        <v>17</v>
      </c>
      <c r="C275" s="216"/>
      <c r="D275" s="215">
        <f t="shared" si="76"/>
        <v>18</v>
      </c>
      <c r="E275" s="216"/>
      <c r="F275" s="215">
        <f t="shared" si="77"/>
        <v>18.5</v>
      </c>
      <c r="G275" s="216"/>
      <c r="H275" s="215">
        <f t="shared" si="78"/>
        <v>0</v>
      </c>
      <c r="I275" s="216"/>
      <c r="J275" s="213">
        <f t="shared" si="79"/>
        <v>0</v>
      </c>
      <c r="K275" s="214"/>
    </row>
    <row r="276" spans="1:11">
      <c r="A276" s="101">
        <f t="shared" si="74"/>
        <v>0</v>
      </c>
      <c r="B276" s="215">
        <f t="shared" si="75"/>
        <v>17</v>
      </c>
      <c r="C276" s="216"/>
      <c r="D276" s="215">
        <f t="shared" si="76"/>
        <v>18</v>
      </c>
      <c r="E276" s="216"/>
      <c r="F276" s="215">
        <f t="shared" si="77"/>
        <v>18.5</v>
      </c>
      <c r="G276" s="216"/>
      <c r="H276" s="215">
        <f t="shared" si="78"/>
        <v>0</v>
      </c>
      <c r="I276" s="216"/>
      <c r="J276" s="213">
        <f t="shared" si="79"/>
        <v>0</v>
      </c>
      <c r="K276" s="214"/>
    </row>
    <row r="277" spans="1:11">
      <c r="A277" s="101">
        <f t="shared" si="74"/>
        <v>0</v>
      </c>
      <c r="B277" s="215">
        <f t="shared" si="75"/>
        <v>17</v>
      </c>
      <c r="C277" s="216"/>
      <c r="D277" s="215">
        <f t="shared" si="76"/>
        <v>18</v>
      </c>
      <c r="E277" s="216"/>
      <c r="F277" s="215">
        <f t="shared" si="77"/>
        <v>18.5</v>
      </c>
      <c r="G277" s="216"/>
      <c r="H277" s="215">
        <f t="shared" si="78"/>
        <v>0</v>
      </c>
      <c r="I277" s="216"/>
      <c r="J277" s="213">
        <f t="shared" si="79"/>
        <v>0</v>
      </c>
      <c r="K277" s="214"/>
    </row>
    <row r="278" spans="1:11">
      <c r="A278" s="101">
        <f t="shared" si="74"/>
        <v>0</v>
      </c>
      <c r="B278" s="215">
        <f t="shared" si="75"/>
        <v>17</v>
      </c>
      <c r="C278" s="216"/>
      <c r="D278" s="215">
        <f t="shared" si="76"/>
        <v>18</v>
      </c>
      <c r="E278" s="216"/>
      <c r="F278" s="215">
        <f t="shared" si="77"/>
        <v>18.5</v>
      </c>
      <c r="G278" s="216"/>
      <c r="H278" s="215">
        <f t="shared" si="78"/>
        <v>0</v>
      </c>
      <c r="I278" s="216"/>
      <c r="J278" s="213">
        <f t="shared" si="79"/>
        <v>0</v>
      </c>
      <c r="K278" s="214"/>
    </row>
    <row r="279" spans="1:11">
      <c r="A279" s="101">
        <f t="shared" si="74"/>
        <v>0</v>
      </c>
      <c r="B279" s="215">
        <f t="shared" si="75"/>
        <v>17</v>
      </c>
      <c r="C279" s="216"/>
      <c r="D279" s="215">
        <f t="shared" si="76"/>
        <v>18</v>
      </c>
      <c r="E279" s="216"/>
      <c r="F279" s="215">
        <f t="shared" si="77"/>
        <v>18.5</v>
      </c>
      <c r="G279" s="216"/>
      <c r="H279" s="215">
        <f t="shared" si="78"/>
        <v>0</v>
      </c>
      <c r="I279" s="216"/>
      <c r="J279" s="213">
        <f t="shared" si="79"/>
        <v>0</v>
      </c>
      <c r="K279" s="214"/>
    </row>
    <row r="280" spans="1:11">
      <c r="A280" s="101">
        <f t="shared" si="74"/>
        <v>0</v>
      </c>
      <c r="B280" s="215">
        <f t="shared" si="75"/>
        <v>17</v>
      </c>
      <c r="C280" s="216"/>
      <c r="D280" s="215">
        <f t="shared" si="76"/>
        <v>18</v>
      </c>
      <c r="E280" s="216"/>
      <c r="F280" s="215">
        <f t="shared" si="77"/>
        <v>18.5</v>
      </c>
      <c r="G280" s="216"/>
      <c r="H280" s="215">
        <f t="shared" si="78"/>
        <v>0</v>
      </c>
      <c r="I280" s="216"/>
      <c r="J280" s="213">
        <f t="shared" si="79"/>
        <v>0</v>
      </c>
      <c r="K280" s="214"/>
    </row>
    <row r="281" spans="1:11">
      <c r="A281" s="101">
        <f t="shared" si="74"/>
        <v>0</v>
      </c>
      <c r="B281" s="215">
        <f t="shared" si="75"/>
        <v>17</v>
      </c>
      <c r="C281" s="216"/>
      <c r="D281" s="215">
        <f t="shared" si="76"/>
        <v>18</v>
      </c>
      <c r="E281" s="216"/>
      <c r="F281" s="215">
        <f t="shared" si="77"/>
        <v>18.5</v>
      </c>
      <c r="G281" s="216"/>
      <c r="H281" s="215">
        <f t="shared" si="78"/>
        <v>0</v>
      </c>
      <c r="I281" s="216"/>
      <c r="J281" s="213">
        <f t="shared" si="79"/>
        <v>0</v>
      </c>
      <c r="K281" s="214"/>
    </row>
    <row r="282" spans="1:11">
      <c r="A282" s="101">
        <f t="shared" si="74"/>
        <v>0</v>
      </c>
      <c r="B282" s="215">
        <f t="shared" si="75"/>
        <v>17</v>
      </c>
      <c r="C282" s="216"/>
      <c r="D282" s="215">
        <f t="shared" si="76"/>
        <v>18</v>
      </c>
      <c r="E282" s="216"/>
      <c r="F282" s="215">
        <f t="shared" si="77"/>
        <v>18.5</v>
      </c>
      <c r="G282" s="216"/>
      <c r="H282" s="215">
        <f t="shared" si="78"/>
        <v>0</v>
      </c>
      <c r="I282" s="216"/>
      <c r="J282" s="213">
        <f t="shared" si="79"/>
        <v>0</v>
      </c>
      <c r="K282" s="214"/>
    </row>
    <row r="283" spans="1:11">
      <c r="A283" s="101">
        <f t="shared" si="74"/>
        <v>0</v>
      </c>
      <c r="B283" s="215">
        <f t="shared" si="75"/>
        <v>17</v>
      </c>
      <c r="C283" s="216"/>
      <c r="D283" s="215">
        <f t="shared" si="76"/>
        <v>18</v>
      </c>
      <c r="E283" s="216"/>
      <c r="F283" s="215">
        <f t="shared" si="77"/>
        <v>18.5</v>
      </c>
      <c r="G283" s="216"/>
      <c r="H283" s="215">
        <f t="shared" si="78"/>
        <v>0</v>
      </c>
      <c r="I283" s="216"/>
      <c r="J283" s="213">
        <f t="shared" si="79"/>
        <v>0</v>
      </c>
      <c r="K283" s="214"/>
    </row>
    <row r="284" spans="1:11">
      <c r="A284" s="101">
        <f t="shared" si="74"/>
        <v>0</v>
      </c>
      <c r="B284" s="215">
        <f t="shared" si="75"/>
        <v>17</v>
      </c>
      <c r="C284" s="216"/>
      <c r="D284" s="215">
        <f t="shared" si="76"/>
        <v>18</v>
      </c>
      <c r="E284" s="216"/>
      <c r="F284" s="215">
        <f t="shared" si="77"/>
        <v>18.5</v>
      </c>
      <c r="G284" s="216"/>
      <c r="H284" s="215">
        <f t="shared" si="78"/>
        <v>0</v>
      </c>
      <c r="I284" s="216"/>
      <c r="J284" s="213">
        <f t="shared" si="79"/>
        <v>0</v>
      </c>
      <c r="K284" s="214"/>
    </row>
    <row r="285" spans="1:11">
      <c r="A285" s="101">
        <f t="shared" si="74"/>
        <v>0</v>
      </c>
      <c r="B285" s="215">
        <f t="shared" si="75"/>
        <v>17</v>
      </c>
      <c r="C285" s="216"/>
      <c r="D285" s="215">
        <f t="shared" si="76"/>
        <v>18</v>
      </c>
      <c r="E285" s="216"/>
      <c r="F285" s="215">
        <f t="shared" si="77"/>
        <v>18.5</v>
      </c>
      <c r="G285" s="216"/>
      <c r="H285" s="215">
        <f t="shared" si="78"/>
        <v>0</v>
      </c>
      <c r="I285" s="216"/>
      <c r="J285" s="213">
        <f t="shared" si="79"/>
        <v>0</v>
      </c>
      <c r="K285" s="214"/>
    </row>
    <row r="286" spans="1:11">
      <c r="A286" s="101">
        <f t="shared" si="74"/>
        <v>0</v>
      </c>
      <c r="B286" s="215">
        <f t="shared" si="75"/>
        <v>17</v>
      </c>
      <c r="C286" s="216"/>
      <c r="D286" s="215">
        <f t="shared" si="76"/>
        <v>18</v>
      </c>
      <c r="E286" s="216"/>
      <c r="F286" s="215">
        <f t="shared" si="77"/>
        <v>18.5</v>
      </c>
      <c r="G286" s="216"/>
      <c r="H286" s="215">
        <f t="shared" si="78"/>
        <v>0</v>
      </c>
      <c r="I286" s="216"/>
      <c r="J286" s="213">
        <f t="shared" si="79"/>
        <v>0</v>
      </c>
      <c r="K286" s="214"/>
    </row>
    <row r="287" spans="1:11">
      <c r="A287" s="101">
        <f t="shared" si="74"/>
        <v>0</v>
      </c>
      <c r="B287" s="215">
        <f t="shared" si="75"/>
        <v>17</v>
      </c>
      <c r="C287" s="216"/>
      <c r="D287" s="215">
        <f t="shared" si="76"/>
        <v>18</v>
      </c>
      <c r="E287" s="216"/>
      <c r="F287" s="215">
        <f t="shared" si="77"/>
        <v>18.5</v>
      </c>
      <c r="G287" s="216"/>
      <c r="H287" s="215">
        <f t="shared" si="78"/>
        <v>0</v>
      </c>
      <c r="I287" s="216"/>
      <c r="J287" s="213">
        <f t="shared" si="79"/>
        <v>0</v>
      </c>
      <c r="K287" s="214"/>
    </row>
    <row r="288" spans="1:11">
      <c r="A288" s="101">
        <f t="shared" si="74"/>
        <v>0</v>
      </c>
      <c r="B288" s="215">
        <f t="shared" si="75"/>
        <v>17</v>
      </c>
      <c r="C288" s="216"/>
      <c r="D288" s="215">
        <f t="shared" si="76"/>
        <v>18</v>
      </c>
      <c r="E288" s="216"/>
      <c r="F288" s="215">
        <f t="shared" si="77"/>
        <v>18.5</v>
      </c>
      <c r="G288" s="216"/>
      <c r="H288" s="215">
        <f t="shared" si="78"/>
        <v>0</v>
      </c>
      <c r="I288" s="216"/>
      <c r="J288" s="213">
        <f t="shared" si="79"/>
        <v>0</v>
      </c>
      <c r="K288" s="214"/>
    </row>
    <row r="289" spans="1:12">
      <c r="A289" s="101">
        <f t="shared" si="74"/>
        <v>0</v>
      </c>
      <c r="B289" s="215">
        <f t="shared" si="75"/>
        <v>17</v>
      </c>
      <c r="C289" s="216"/>
      <c r="D289" s="215">
        <f t="shared" si="76"/>
        <v>18</v>
      </c>
      <c r="E289" s="216"/>
      <c r="F289" s="215">
        <f t="shared" si="77"/>
        <v>18.5</v>
      </c>
      <c r="G289" s="216"/>
      <c r="H289" s="215">
        <f t="shared" si="78"/>
        <v>0</v>
      </c>
      <c r="I289" s="216"/>
      <c r="J289" s="213">
        <f t="shared" si="79"/>
        <v>0</v>
      </c>
      <c r="K289" s="214"/>
    </row>
    <row r="290" spans="1:12">
      <c r="A290" s="101">
        <f t="shared" si="74"/>
        <v>0</v>
      </c>
      <c r="B290" s="215">
        <f t="shared" si="75"/>
        <v>17</v>
      </c>
      <c r="C290" s="216"/>
      <c r="D290" s="215">
        <f t="shared" si="76"/>
        <v>18</v>
      </c>
      <c r="E290" s="216"/>
      <c r="F290" s="215">
        <f t="shared" si="77"/>
        <v>18.5</v>
      </c>
      <c r="G290" s="216"/>
      <c r="H290" s="215">
        <f t="shared" si="78"/>
        <v>0</v>
      </c>
      <c r="I290" s="216"/>
      <c r="J290" s="213">
        <f t="shared" si="79"/>
        <v>0</v>
      </c>
      <c r="K290" s="214"/>
    </row>
    <row r="291" spans="1:12">
      <c r="A291" s="101">
        <f t="shared" si="74"/>
        <v>0</v>
      </c>
      <c r="B291" s="215">
        <f t="shared" si="75"/>
        <v>17</v>
      </c>
      <c r="C291" s="216"/>
      <c r="D291" s="215">
        <f t="shared" si="76"/>
        <v>18</v>
      </c>
      <c r="E291" s="216"/>
      <c r="F291" s="215">
        <f t="shared" si="77"/>
        <v>18.5</v>
      </c>
      <c r="G291" s="216"/>
      <c r="H291" s="215">
        <f t="shared" si="78"/>
        <v>0</v>
      </c>
      <c r="I291" s="216"/>
      <c r="J291" s="213">
        <f t="shared" si="79"/>
        <v>0</v>
      </c>
      <c r="K291" s="214"/>
    </row>
    <row r="292" spans="1:12">
      <c r="A292" s="101">
        <f t="shared" si="74"/>
        <v>0</v>
      </c>
      <c r="B292" s="215">
        <f t="shared" si="75"/>
        <v>17</v>
      </c>
      <c r="C292" s="216"/>
      <c r="D292" s="215">
        <f t="shared" si="76"/>
        <v>18</v>
      </c>
      <c r="E292" s="216"/>
      <c r="F292" s="215">
        <f t="shared" si="77"/>
        <v>18.5</v>
      </c>
      <c r="G292" s="216"/>
      <c r="H292" s="215">
        <f t="shared" si="78"/>
        <v>0</v>
      </c>
      <c r="I292" s="216"/>
      <c r="J292" s="213">
        <f t="shared" si="79"/>
        <v>0</v>
      </c>
      <c r="K292" s="214"/>
    </row>
    <row r="294" spans="1:12">
      <c r="A294" s="99" t="s">
        <v>152</v>
      </c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</row>
    <row r="295" spans="1:12">
      <c r="A295" s="101">
        <f>A269</f>
        <v>0</v>
      </c>
      <c r="B295" s="210">
        <f ca="1">ROUND(Request!N7/Worksheet!H171*Worksheet!B242*Worksheet!$B$241+Request!N7/Worksheet!H171*Worksheet!C242*Worksheet!C241,0)</f>
        <v>0</v>
      </c>
      <c r="C295" s="211"/>
      <c r="D295" s="210">
        <f ca="1">ROUND(Request!O7/(D242+E242)*Worksheet!D242*Worksheet!D$241+Request!O7/(D242+E242)*Worksheet!E242*Worksheet!E$241,0)</f>
        <v>0</v>
      </c>
      <c r="E295" s="211"/>
      <c r="F295" s="210">
        <f ca="1">ROUND(Request!P7/(F242+G242)*Worksheet!F242*Worksheet!F$241+Request!P7/(F242+G242)*Worksheet!G242*Worksheet!G$241,0)</f>
        <v>0</v>
      </c>
      <c r="G295" s="211"/>
      <c r="H295" s="210" t="e">
        <f ca="1">ROUND(Request!Q7/(H242+I242)*Worksheet!H242*Worksheet!H$241+Request!Q7/(H242+I242)*Worksheet!I242*Worksheet!I$241,0)</f>
        <v>#VALUE!</v>
      </c>
      <c r="I295" s="211"/>
      <c r="J295" s="210" t="e">
        <f ca="1">ROUND(Request!R7/(J242+K242)*Worksheet!J242*Worksheet!J$241+Request!R7/(J242+K242)*Worksheet!K242*Worksheet!K$241,0)</f>
        <v>#VALUE!</v>
      </c>
      <c r="K295" s="211"/>
    </row>
    <row r="296" spans="1:12">
      <c r="A296" s="101">
        <f t="shared" ref="A296:A318" si="80">A270</f>
        <v>0</v>
      </c>
      <c r="B296" s="210">
        <f ca="1">ROUND(Request!N8/Worksheet!H172*Worksheet!B243*Worksheet!$B$241+Request!N8/Worksheet!H172*Worksheet!C243*Worksheet!$C$241,0)</f>
        <v>0</v>
      </c>
      <c r="C296" s="211"/>
      <c r="D296" s="210">
        <f ca="1">ROUND(Request!O8/(D243+E243)*Worksheet!D243*Worksheet!D$241+Request!O8/(D243+E243)*Worksheet!E243*Worksheet!E$241,0)</f>
        <v>0</v>
      </c>
      <c r="E296" s="211"/>
      <c r="F296" s="210">
        <f ca="1">ROUND(Request!P8/(F243+G243)*Worksheet!F243*Worksheet!F$241+Request!P8/(F243+G243)*Worksheet!G243*Worksheet!G$241,0)</f>
        <v>0</v>
      </c>
      <c r="G296" s="211"/>
      <c r="H296" s="210" t="e">
        <f ca="1">ROUND(Request!Q8/(H243+I243)*Worksheet!H243*Worksheet!H$241+Request!Q8/(H243+I243)*Worksheet!I243*Worksheet!I$241,0)</f>
        <v>#VALUE!</v>
      </c>
      <c r="I296" s="211"/>
      <c r="J296" s="210" t="e">
        <f ca="1">ROUND(Request!R8/(J243+K243)*Worksheet!J243*Worksheet!J$241+Request!R8/(J243+K243)*Worksheet!K243*Worksheet!K$241,0)</f>
        <v>#VALUE!</v>
      </c>
      <c r="K296" s="211"/>
    </row>
    <row r="297" spans="1:12">
      <c r="A297" s="101">
        <f t="shared" si="80"/>
        <v>0</v>
      </c>
      <c r="B297" s="210">
        <f ca="1">ROUND(Request!N9/Worksheet!H173*Worksheet!B244*Worksheet!$B$241+Request!N9/Worksheet!H173*Worksheet!C244*Worksheet!$C$241,0)</f>
        <v>0</v>
      </c>
      <c r="C297" s="211"/>
      <c r="D297" s="210">
        <f ca="1">ROUND(Request!O9/(D244+E244)*Worksheet!D244*Worksheet!D$241+Request!O9/(D244+E244)*Worksheet!E244*Worksheet!E$241,0)</f>
        <v>0</v>
      </c>
      <c r="E297" s="211"/>
      <c r="F297" s="210">
        <f ca="1">ROUND(Request!P9/(F244+G244)*Worksheet!F244*Worksheet!F$241+Request!P9/(F244+G244)*Worksheet!G244*Worksheet!G$241,0)</f>
        <v>0</v>
      </c>
      <c r="G297" s="211"/>
      <c r="H297" s="210" t="e">
        <f ca="1">ROUND(Request!Q9/(H244+I244)*Worksheet!H244*Worksheet!H$241+Request!Q9/(H244+I244)*Worksheet!I244*Worksheet!I$241,0)</f>
        <v>#DIV/0!</v>
      </c>
      <c r="I297" s="211"/>
      <c r="J297" s="210" t="e">
        <f ca="1">ROUND(Request!R9/(J244+K244)*Worksheet!J244*Worksheet!J$241+Request!R9/(J244+K244)*Worksheet!K244*Worksheet!K$241,0)</f>
        <v>#DIV/0!</v>
      </c>
      <c r="K297" s="211"/>
    </row>
    <row r="298" spans="1:12">
      <c r="A298" s="101">
        <f t="shared" si="80"/>
        <v>0</v>
      </c>
      <c r="B298" s="210">
        <f ca="1">ROUND(Request!N10/Worksheet!H174*Worksheet!B245*Worksheet!$B$241+Request!N10/Worksheet!H174*Worksheet!C245*Worksheet!$C$241,0)</f>
        <v>0</v>
      </c>
      <c r="C298" s="211"/>
      <c r="D298" s="210">
        <f ca="1">ROUND(Request!O10/(D245+E245)*Worksheet!D245*Worksheet!D$241+Request!O10/(D245+E245)*Worksheet!E245*Worksheet!E$241,0)</f>
        <v>0</v>
      </c>
      <c r="E298" s="211"/>
      <c r="F298" s="210">
        <f ca="1">ROUND(Request!P10/(F245+G245)*Worksheet!F245*Worksheet!F$241+Request!P10/(F245+G245)*Worksheet!G245*Worksheet!G$241,0)</f>
        <v>0</v>
      </c>
      <c r="G298" s="211"/>
      <c r="H298" s="210" t="e">
        <f ca="1">ROUND(Request!Q10/(H245+I245)*Worksheet!H245*Worksheet!H$241+Request!Q10/(H245+I245)*Worksheet!I245*Worksheet!I$241,0)</f>
        <v>#DIV/0!</v>
      </c>
      <c r="I298" s="211"/>
      <c r="J298" s="210" t="e">
        <f ca="1">ROUND(Request!R10/(J245+K245)*Worksheet!J245*Worksheet!J$241+Request!R10/(J245+K245)*Worksheet!K245*Worksheet!K$241,0)</f>
        <v>#DIV/0!</v>
      </c>
      <c r="K298" s="211"/>
    </row>
    <row r="299" spans="1:12">
      <c r="A299" s="101">
        <f t="shared" si="80"/>
        <v>0</v>
      </c>
      <c r="B299" s="210">
        <f>IF((B246+C246)&lt;&gt;0,ROUND(Request!N11/Worksheet!H175*Worksheet!B246*Worksheet!$B$241+Request!N11/Worksheet!H175*Worksheet!C246*Worksheet!$C$241,0),0)</f>
        <v>0</v>
      </c>
      <c r="C299" s="211"/>
      <c r="D299" s="210" t="e">
        <f ca="1">ROUND(Request!O11/(D246+E246)*Worksheet!D246*Worksheet!D$241+Request!O11/(D246+E246)*Worksheet!E246*Worksheet!E$241,0)</f>
        <v>#DIV/0!</v>
      </c>
      <c r="E299" s="211"/>
      <c r="F299" s="210" t="e">
        <f ca="1">ROUND(Request!P11/(F246+G246)*Worksheet!F246*Worksheet!F$241+Request!P11/(F246+G246)*Worksheet!G246*Worksheet!G$241,0)</f>
        <v>#DIV/0!</v>
      </c>
      <c r="G299" s="211"/>
      <c r="H299" s="210" t="e">
        <f ca="1">ROUND(Request!Q11/(H246+I246)*Worksheet!H246*Worksheet!H$241+Request!Q11/(H246+I246)*Worksheet!I246*Worksheet!I$241,0)</f>
        <v>#DIV/0!</v>
      </c>
      <c r="I299" s="211"/>
      <c r="J299" s="210" t="e">
        <f ca="1">ROUND(Request!R11/(J246+K246)*Worksheet!J246*Worksheet!J$241+Request!R11/(J246+K246)*Worksheet!K246*Worksheet!K$241,0)</f>
        <v>#DIV/0!</v>
      </c>
      <c r="K299" s="211"/>
      <c r="L299" s="17"/>
    </row>
    <row r="300" spans="1:12">
      <c r="A300" s="101">
        <f t="shared" si="80"/>
        <v>0</v>
      </c>
      <c r="B300" s="210">
        <f>IF((B247+C247)&lt;&gt;0,ROUND(Request!N12/Worksheet!H176*Worksheet!B247*Worksheet!$B$241+Request!N12/Worksheet!H176*Worksheet!C247*Worksheet!$C$241,0),0)</f>
        <v>0</v>
      </c>
      <c r="C300" s="211"/>
      <c r="D300" s="210" t="e">
        <f ca="1">ROUND(Request!O12/(D247+E247)*Worksheet!D247*Worksheet!D$241+Request!O12/(D247+E247)*Worksheet!E247*Worksheet!E$241,0)</f>
        <v>#DIV/0!</v>
      </c>
      <c r="E300" s="211"/>
      <c r="F300" s="210" t="e">
        <f ca="1">ROUND(Request!P12/(F247+G247)*Worksheet!F247*Worksheet!F$241+Request!P12/(F247+G247)*Worksheet!G247*Worksheet!G$241,0)</f>
        <v>#DIV/0!</v>
      </c>
      <c r="G300" s="211"/>
      <c r="H300" s="210" t="e">
        <f ca="1">ROUND(Request!Q12/(H247+I247)*Worksheet!H247*Worksheet!H$241+Request!Q12/(H247+I247)*Worksheet!I247*Worksheet!I$241,0)</f>
        <v>#DIV/0!</v>
      </c>
      <c r="I300" s="211"/>
      <c r="J300" s="210" t="e">
        <f ca="1">ROUND(Request!R12/(J247+K247)*Worksheet!J247*Worksheet!J$241+Request!R12/(J247+K247)*Worksheet!K247*Worksheet!K$241,0)</f>
        <v>#DIV/0!</v>
      </c>
      <c r="K300" s="211"/>
    </row>
    <row r="301" spans="1:12">
      <c r="A301" s="101">
        <f t="shared" si="80"/>
        <v>0</v>
      </c>
      <c r="B301" s="210">
        <f>IF((B248+C248)&lt;&gt;0,ROUND(Request!N13/Worksheet!H177*Worksheet!B248*Worksheet!$B$241+Request!N13/Worksheet!H177*Worksheet!C248*Worksheet!$C$241,0),0)</f>
        <v>0</v>
      </c>
      <c r="C301" s="211"/>
      <c r="D301" s="210" t="e">
        <f ca="1">ROUND(Request!O13/(D248+E248)*Worksheet!D248*Worksheet!D$241+Request!O13/(D248+E248)*Worksheet!E248*Worksheet!E$241,0)</f>
        <v>#DIV/0!</v>
      </c>
      <c r="E301" s="211"/>
      <c r="F301" s="210" t="e">
        <f ca="1">ROUND(Request!P13/(F248+G248)*Worksheet!F248*Worksheet!F$241+Request!P13/(F248+G248)*Worksheet!G248*Worksheet!G$241,0)</f>
        <v>#DIV/0!</v>
      </c>
      <c r="G301" s="211"/>
      <c r="H301" s="210" t="e">
        <f ca="1">ROUND(Request!Q13/(H248+I248)*Worksheet!H248*Worksheet!H$241+Request!Q13/(H248+I248)*Worksheet!I248*Worksheet!I$241,0)</f>
        <v>#DIV/0!</v>
      </c>
      <c r="I301" s="211"/>
      <c r="J301" s="210" t="e">
        <f ca="1">ROUND(Request!R13/(J248+K248)*Worksheet!J248*Worksheet!J$241+Request!R13/(J248+K248)*Worksheet!K248*Worksheet!K$241,0)</f>
        <v>#DIV/0!</v>
      </c>
      <c r="K301" s="211"/>
    </row>
    <row r="302" spans="1:12">
      <c r="A302" s="101">
        <f t="shared" si="80"/>
        <v>0</v>
      </c>
      <c r="B302" s="210">
        <f>IF((B249+C249)&lt;&gt;0,ROUND(Request!N14/Worksheet!H178*Worksheet!B249*Worksheet!$B$241+Request!N14/Worksheet!H178*Worksheet!C249*Worksheet!$C$241,0),0)</f>
        <v>0</v>
      </c>
      <c r="C302" s="211"/>
      <c r="D302" s="210" t="e">
        <f ca="1">ROUND(Request!O14/(D249+E249)*Worksheet!D249*Worksheet!D$241+Request!O14/(D249+E249)*Worksheet!E249*Worksheet!E$241,0)</f>
        <v>#DIV/0!</v>
      </c>
      <c r="E302" s="211"/>
      <c r="F302" s="210" t="e">
        <f ca="1">ROUND(Request!P14/(F249+G249)*Worksheet!F249*Worksheet!F$241+Request!P14/(F249+G249)*Worksheet!G249*Worksheet!G$241,0)</f>
        <v>#DIV/0!</v>
      </c>
      <c r="G302" s="211"/>
      <c r="H302" s="210" t="e">
        <f ca="1">ROUND(Request!Q14/(H249+I249)*Worksheet!H249*Worksheet!H$241+Request!Q14/(H249+I249)*Worksheet!I249*Worksheet!I$241,0)</f>
        <v>#DIV/0!</v>
      </c>
      <c r="I302" s="211"/>
      <c r="J302" s="210" t="e">
        <f ca="1">ROUND(Request!R14/(J249+K249)*Worksheet!J249*Worksheet!J$241+Request!R14/(J249+K249)*Worksheet!K249*Worksheet!K$241,0)</f>
        <v>#DIV/0!</v>
      </c>
      <c r="K302" s="211"/>
    </row>
    <row r="303" spans="1:12">
      <c r="A303" s="101">
        <f t="shared" si="80"/>
        <v>0</v>
      </c>
      <c r="B303" s="210">
        <f>IF((B250+C250)&lt;&gt;0,ROUND(Request!N15/Worksheet!H179*Worksheet!B250*Worksheet!$B$241+Request!N15/Worksheet!H179*Worksheet!C250*Worksheet!$C$241,0),0)</f>
        <v>0</v>
      </c>
      <c r="C303" s="211"/>
      <c r="D303" s="210" t="e">
        <f ca="1">ROUND(Request!O15/(D250+E250)*Worksheet!D250*Worksheet!D$241+Request!O15/(D250+E250)*Worksheet!E250*Worksheet!E$241,0)</f>
        <v>#DIV/0!</v>
      </c>
      <c r="E303" s="211"/>
      <c r="F303" s="210" t="e">
        <f ca="1">ROUND(Request!P15/(F250+G250)*Worksheet!F250*Worksheet!F$241+Request!P15/(F250+G250)*Worksheet!G250*Worksheet!G$241,0)</f>
        <v>#DIV/0!</v>
      </c>
      <c r="G303" s="211"/>
      <c r="H303" s="210" t="e">
        <f ca="1">ROUND(Request!Q15/(H250+I250)*Worksheet!H250*Worksheet!H$241+Request!Q15/(H250+I250)*Worksheet!I250*Worksheet!I$241,0)</f>
        <v>#DIV/0!</v>
      </c>
      <c r="I303" s="211"/>
      <c r="J303" s="210" t="e">
        <f ca="1">ROUND(Request!R15/(J250+K250)*Worksheet!J250*Worksheet!J$241+Request!R15/(J250+K250)*Worksheet!K250*Worksheet!K$241,0)</f>
        <v>#DIV/0!</v>
      </c>
      <c r="K303" s="211"/>
    </row>
    <row r="304" spans="1:12">
      <c r="A304" s="101">
        <f t="shared" si="80"/>
        <v>0</v>
      </c>
      <c r="B304" s="210">
        <f>IF((B251+C251)&lt;&gt;0,ROUND(Request!N16/Worksheet!H180*Worksheet!B251*Worksheet!$B$241+Request!N16/Worksheet!H180*Worksheet!C251*Worksheet!$C$241,0),0)</f>
        <v>0</v>
      </c>
      <c r="C304" s="211"/>
      <c r="D304" s="210" t="e">
        <f ca="1">ROUND(Request!O16/(D251+E251)*Worksheet!D251*Worksheet!D$241+Request!O16/(D251+E251)*Worksheet!E251*Worksheet!E$241,0)</f>
        <v>#DIV/0!</v>
      </c>
      <c r="E304" s="211"/>
      <c r="F304" s="210" t="e">
        <f ca="1">ROUND(Request!P16/(F251+G251)*Worksheet!F251*Worksheet!F$241+Request!P16/(F251+G251)*Worksheet!G251*Worksheet!G$241,0)</f>
        <v>#DIV/0!</v>
      </c>
      <c r="G304" s="211"/>
      <c r="H304" s="210" t="e">
        <f ca="1">ROUND(Request!Q16/(H251+I251)*Worksheet!H251*Worksheet!H$241+Request!Q16/(H251+I251)*Worksheet!I251*Worksheet!I$241,0)</f>
        <v>#DIV/0!</v>
      </c>
      <c r="I304" s="211"/>
      <c r="J304" s="210" t="e">
        <f ca="1">ROUND(Request!R16/(J251+K251)*Worksheet!J251*Worksheet!J$241+Request!R16/(J251+K251)*Worksheet!K251*Worksheet!K$241,0)</f>
        <v>#DIV/0!</v>
      </c>
      <c r="K304" s="211"/>
    </row>
    <row r="305" spans="1:11">
      <c r="A305" s="101">
        <f t="shared" si="80"/>
        <v>0</v>
      </c>
      <c r="B305" s="210">
        <f>IF((B252+C252)&lt;&gt;0,ROUND(Request!N17/Worksheet!H181*Worksheet!B252*Worksheet!$B$241+Request!N17/Worksheet!H181*Worksheet!C252*Worksheet!$C$241,0),0)</f>
        <v>0</v>
      </c>
      <c r="C305" s="211"/>
      <c r="D305" s="210" t="e">
        <f ca="1">ROUND(Request!O17/(D252+E252)*Worksheet!D252*Worksheet!D$241+Request!O17/(D252+E252)*Worksheet!E252*Worksheet!E$241,0)</f>
        <v>#DIV/0!</v>
      </c>
      <c r="E305" s="211"/>
      <c r="F305" s="210" t="e">
        <f ca="1">ROUND(Request!P17/(F252+G252)*Worksheet!F252*Worksheet!F$241+Request!P17/(F252+G252)*Worksheet!G252*Worksheet!G$241,0)</f>
        <v>#DIV/0!</v>
      </c>
      <c r="G305" s="211"/>
      <c r="H305" s="210" t="e">
        <f ca="1">ROUND(Request!Q17/(H252+I252)*Worksheet!H252*Worksheet!H$241+Request!Q17/(H252+I252)*Worksheet!I252*Worksheet!I$241,0)</f>
        <v>#DIV/0!</v>
      </c>
      <c r="I305" s="211"/>
      <c r="J305" s="210" t="e">
        <f ca="1">ROUND(Request!R17/(J252+K252)*Worksheet!J252*Worksheet!J$241+Request!R17/(J252+K252)*Worksheet!K252*Worksheet!K$241,0)</f>
        <v>#DIV/0!</v>
      </c>
      <c r="K305" s="211"/>
    </row>
    <row r="306" spans="1:11">
      <c r="A306" s="101">
        <f t="shared" si="80"/>
        <v>0</v>
      </c>
      <c r="B306" s="210">
        <f>IF((B253+C253)&lt;&gt;0,ROUND(Request!N18/Worksheet!H182*Worksheet!B253*Worksheet!$B$241+Request!N18/Worksheet!H182*Worksheet!C253*Worksheet!$C$241,0),0)</f>
        <v>0</v>
      </c>
      <c r="C306" s="211"/>
      <c r="D306" s="210" t="e">
        <f ca="1">ROUND(Request!O18/(D253+E253)*Worksheet!D253*Worksheet!D$241+Request!O18/(D253+E253)*Worksheet!E253*Worksheet!E$241,0)</f>
        <v>#DIV/0!</v>
      </c>
      <c r="E306" s="211"/>
      <c r="F306" s="210" t="e">
        <f ca="1">ROUND(Request!P18/(F253+G253)*Worksheet!F253*Worksheet!F$241+Request!P18/(F253+G253)*Worksheet!G253*Worksheet!G$241,0)</f>
        <v>#DIV/0!</v>
      </c>
      <c r="G306" s="211"/>
      <c r="H306" s="210" t="e">
        <f ca="1">ROUND(Request!Q18/(H253+I253)*Worksheet!H253*Worksheet!H$241+Request!Q18/(H253+I253)*Worksheet!I253*Worksheet!I$241,0)</f>
        <v>#DIV/0!</v>
      </c>
      <c r="I306" s="211"/>
      <c r="J306" s="210" t="e">
        <f ca="1">ROUND(Request!R18/(J253+K253)*Worksheet!J253*Worksheet!J$241+Request!R18/(J253+K253)*Worksheet!K253*Worksheet!K$241,0)</f>
        <v>#DIV/0!</v>
      </c>
      <c r="K306" s="211"/>
    </row>
    <row r="307" spans="1:11">
      <c r="A307" s="101">
        <f t="shared" si="80"/>
        <v>0</v>
      </c>
      <c r="B307" s="210">
        <f>IF((B254+C254)&lt;&gt;0,ROUND(Request!N19/Worksheet!H183*Worksheet!B254*Worksheet!$B$241+Request!N19/Worksheet!H183*Worksheet!C254*Worksheet!$C$241,0),0)</f>
        <v>0</v>
      </c>
      <c r="C307" s="211"/>
      <c r="D307" s="210" t="e">
        <f ca="1">ROUND(Request!O19/(D254+E254)*Worksheet!D254*Worksheet!D$241+Request!O19/(D254+E254)*Worksheet!E254*Worksheet!E$241,0)</f>
        <v>#DIV/0!</v>
      </c>
      <c r="E307" s="211"/>
      <c r="F307" s="210" t="e">
        <f ca="1">ROUND(Request!P19/(F254+G254)*Worksheet!F254*Worksheet!F$241+Request!P19/(F254+G254)*Worksheet!G254*Worksheet!G$241,0)</f>
        <v>#DIV/0!</v>
      </c>
      <c r="G307" s="211"/>
      <c r="H307" s="210" t="e">
        <f ca="1">ROUND(Request!Q19/(H254+I254)*Worksheet!H254*Worksheet!H$241+Request!Q19/(H254+I254)*Worksheet!I254*Worksheet!I$241,0)</f>
        <v>#DIV/0!</v>
      </c>
      <c r="I307" s="211"/>
      <c r="J307" s="210" t="e">
        <f ca="1">ROUND(Request!R19/(J254+K254)*Worksheet!J254*Worksheet!J$241+Request!R19/(J254+K254)*Worksheet!K254*Worksheet!K$241,0)</f>
        <v>#DIV/0!</v>
      </c>
      <c r="K307" s="211"/>
    </row>
    <row r="308" spans="1:11">
      <c r="A308" s="101">
        <f t="shared" si="80"/>
        <v>0</v>
      </c>
      <c r="B308" s="210">
        <f>IF((B255+C255)&lt;&gt;0,ROUND(Request!N20/Worksheet!H184*Worksheet!B255*Worksheet!$B$241+Request!N20/Worksheet!H184*Worksheet!C255*Worksheet!$C$241,0),0)</f>
        <v>0</v>
      </c>
      <c r="C308" s="211"/>
      <c r="D308" s="210" t="e">
        <f ca="1">ROUND(Request!O20/(D255+E255)*Worksheet!D255*Worksheet!D$241+Request!O20/(D255+E255)*Worksheet!E255*Worksheet!E$241,0)</f>
        <v>#DIV/0!</v>
      </c>
      <c r="E308" s="211"/>
      <c r="F308" s="210" t="e">
        <f ca="1">ROUND(Request!P20/(F255+G255)*Worksheet!F255*Worksheet!F$241+Request!P20/(F255+G255)*Worksheet!G255*Worksheet!G$241,0)</f>
        <v>#DIV/0!</v>
      </c>
      <c r="G308" s="211"/>
      <c r="H308" s="210" t="e">
        <f ca="1">ROUND(Request!Q20/(H255+I255)*Worksheet!H255*Worksheet!H$241+Request!Q20/(H255+I255)*Worksheet!I255*Worksheet!I$241,0)</f>
        <v>#DIV/0!</v>
      </c>
      <c r="I308" s="211"/>
      <c r="J308" s="210" t="e">
        <f ca="1">ROUND(Request!R20/(J255+K255)*Worksheet!J255*Worksheet!J$241+Request!R20/(J255+K255)*Worksheet!K255*Worksheet!K$241,0)</f>
        <v>#DIV/0!</v>
      </c>
      <c r="K308" s="211"/>
    </row>
    <row r="309" spans="1:11">
      <c r="A309" s="101">
        <f t="shared" si="80"/>
        <v>0</v>
      </c>
      <c r="B309" s="210">
        <f>IF((B256+C256)&lt;&gt;0,ROUND(Request!N21/Worksheet!H185*Worksheet!B256*Worksheet!$B$241+Request!N21/Worksheet!H185*Worksheet!C256*Worksheet!$C$241,0),0)</f>
        <v>0</v>
      </c>
      <c r="C309" s="211"/>
      <c r="D309" s="210" t="e">
        <f ca="1">ROUND(Request!O21/(D256+E256)*Worksheet!D256*Worksheet!D$241+Request!O21/(D256+E256)*Worksheet!E256*Worksheet!E$241,0)</f>
        <v>#DIV/0!</v>
      </c>
      <c r="E309" s="211"/>
      <c r="F309" s="210" t="e">
        <f ca="1">ROUND(Request!P21/(F256+G256)*Worksheet!F256*Worksheet!F$241+Request!P21/(F256+G256)*Worksheet!G256*Worksheet!G$241,0)</f>
        <v>#DIV/0!</v>
      </c>
      <c r="G309" s="211"/>
      <c r="H309" s="210" t="e">
        <f ca="1">ROUND(Request!Q21/(H256+I256)*Worksheet!H256*Worksheet!H$241+Request!Q21/(H256+I256)*Worksheet!I256*Worksheet!I$241,0)</f>
        <v>#DIV/0!</v>
      </c>
      <c r="I309" s="211"/>
      <c r="J309" s="210" t="e">
        <f ca="1">ROUND(Request!R21/(J256+K256)*Worksheet!J256*Worksheet!J$241+Request!R21/(J256+K256)*Worksheet!K256*Worksheet!K$241,0)</f>
        <v>#DIV/0!</v>
      </c>
      <c r="K309" s="211"/>
    </row>
    <row r="310" spans="1:11">
      <c r="A310" s="101">
        <f t="shared" si="80"/>
        <v>0</v>
      </c>
      <c r="B310" s="210">
        <f>IF((B257+C257)&lt;&gt;0,ROUND(Request!N22/Worksheet!H186*Worksheet!B257*Worksheet!$B$241+Request!N22/Worksheet!H186*Worksheet!C257*Worksheet!$C$241,0),0)</f>
        <v>0</v>
      </c>
      <c r="C310" s="211"/>
      <c r="D310" s="210" t="e">
        <f ca="1">ROUND(Request!O22/(D257+E257)*Worksheet!D257*Worksheet!D$241+Request!O22/(D257+E257)*Worksheet!E257*Worksheet!E$241,0)</f>
        <v>#DIV/0!</v>
      </c>
      <c r="E310" s="211"/>
      <c r="F310" s="210" t="e">
        <f ca="1">ROUND(Request!P22/(F257+G257)*Worksheet!F257*Worksheet!F$241+Request!P22/(F257+G257)*Worksheet!G257*Worksheet!G$241,0)</f>
        <v>#DIV/0!</v>
      </c>
      <c r="G310" s="211"/>
      <c r="H310" s="210" t="e">
        <f ca="1">ROUND(Request!Q22/(H257+I257)*Worksheet!H257*Worksheet!H$241+Request!Q22/(H257+I257)*Worksheet!I257*Worksheet!I$241,0)</f>
        <v>#DIV/0!</v>
      </c>
      <c r="I310" s="211"/>
      <c r="J310" s="210" t="e">
        <f ca="1">ROUND(Request!R22/(J257+K257)*Worksheet!J257*Worksheet!J$241+Request!R22/(J257+K257)*Worksheet!K257*Worksheet!K$241,0)</f>
        <v>#DIV/0!</v>
      </c>
      <c r="K310" s="211"/>
    </row>
    <row r="311" spans="1:11">
      <c r="A311" s="101">
        <f t="shared" si="80"/>
        <v>0</v>
      </c>
      <c r="B311" s="210">
        <f>IF((B258+C258)&lt;&gt;0,ROUND(Request!N23/Worksheet!H187*Worksheet!B258*Worksheet!$B$241+Request!N23/Worksheet!H187*Worksheet!C258*Worksheet!$C$241,0),0)</f>
        <v>0</v>
      </c>
      <c r="C311" s="211"/>
      <c r="D311" s="210" t="e">
        <f ca="1">ROUND(Request!O23/(D258+E258)*Worksheet!D258*Worksheet!D$241+Request!O23/(D258+E258)*Worksheet!E258*Worksheet!E$241,0)</f>
        <v>#DIV/0!</v>
      </c>
      <c r="E311" s="211"/>
      <c r="F311" s="210" t="e">
        <f ca="1">ROUND(Request!P23/(F258+G258)*Worksheet!F258*Worksheet!F$241+Request!P23/(F258+G258)*Worksheet!G258*Worksheet!G$241,0)</f>
        <v>#DIV/0!</v>
      </c>
      <c r="G311" s="211"/>
      <c r="H311" s="210" t="e">
        <f ca="1">ROUND(Request!Q23/(H258+I258)*Worksheet!H258*Worksheet!H$241+Request!Q23/(H258+I258)*Worksheet!I258*Worksheet!I$241,0)</f>
        <v>#DIV/0!</v>
      </c>
      <c r="I311" s="211"/>
      <c r="J311" s="210" t="e">
        <f ca="1">ROUND(Request!R23/(J258+K258)*Worksheet!J258*Worksheet!J$241+Request!R23/(J258+K258)*Worksheet!K258*Worksheet!K$241,0)</f>
        <v>#DIV/0!</v>
      </c>
      <c r="K311" s="211"/>
    </row>
    <row r="312" spans="1:11">
      <c r="A312" s="101">
        <f t="shared" si="80"/>
        <v>0</v>
      </c>
      <c r="B312" s="210">
        <f>IF((B259+C259)&lt;&gt;0,ROUND(Request!N24/Worksheet!H188*Worksheet!B259*Worksheet!$B$241+Request!N24/Worksheet!H188*Worksheet!C259*Worksheet!$C$241,0),0)</f>
        <v>0</v>
      </c>
      <c r="C312" s="211"/>
      <c r="D312" s="210" t="e">
        <f ca="1">ROUND(Request!O24/(D259+E259)*Worksheet!D259*Worksheet!D$241+Request!O24/(D259+E259)*Worksheet!E259*Worksheet!E$241,0)</f>
        <v>#DIV/0!</v>
      </c>
      <c r="E312" s="211"/>
      <c r="F312" s="210" t="e">
        <f ca="1">ROUND(Request!P24/(F259+G259)*Worksheet!F259*Worksheet!F$241+Request!P24/(F259+G259)*Worksheet!G259*Worksheet!G$241,0)</f>
        <v>#DIV/0!</v>
      </c>
      <c r="G312" s="211"/>
      <c r="H312" s="210" t="e">
        <f ca="1">ROUND(Request!Q24/(H259+I259)*Worksheet!H259*Worksheet!H$241+Request!Q24/(H259+I259)*Worksheet!I259*Worksheet!I$241,0)</f>
        <v>#DIV/0!</v>
      </c>
      <c r="I312" s="211"/>
      <c r="J312" s="210" t="e">
        <f ca="1">ROUND(Request!R24/(J259+K259)*Worksheet!J259*Worksheet!J$241+Request!R24/(J259+K259)*Worksheet!K259*Worksheet!K$241,0)</f>
        <v>#DIV/0!</v>
      </c>
      <c r="K312" s="211"/>
    </row>
    <row r="313" spans="1:11">
      <c r="A313" s="101">
        <f t="shared" si="80"/>
        <v>0</v>
      </c>
      <c r="B313" s="210">
        <f>IF((B260+C260)&lt;&gt;0,ROUND(Request!N25/Worksheet!H189*Worksheet!B260*Worksheet!$B$241+Request!N25/Worksheet!H189*Worksheet!C260*Worksheet!$C$241,0),0)</f>
        <v>0</v>
      </c>
      <c r="C313" s="211"/>
      <c r="D313" s="210" t="e">
        <f ca="1">ROUND(Request!O25/(D260+E260)*Worksheet!D260*Worksheet!D$241+Request!O25/(D260+E260)*Worksheet!E260*Worksheet!E$241,0)</f>
        <v>#DIV/0!</v>
      </c>
      <c r="E313" s="211"/>
      <c r="F313" s="210" t="e">
        <f ca="1">ROUND(Request!P25/(F260+G260)*Worksheet!F260*Worksheet!F$241+Request!P25/(F260+G260)*Worksheet!G260*Worksheet!G$241,0)</f>
        <v>#DIV/0!</v>
      </c>
      <c r="G313" s="211"/>
      <c r="H313" s="210" t="e">
        <f ca="1">ROUND(Request!Q25/(H260+I260)*Worksheet!H260*Worksheet!H$241+Request!Q25/(H260+I260)*Worksheet!I260*Worksheet!I$241,0)</f>
        <v>#DIV/0!</v>
      </c>
      <c r="I313" s="211"/>
      <c r="J313" s="210" t="e">
        <f ca="1">ROUND(Request!R25/(J260+K260)*Worksheet!J260*Worksheet!J$241+Request!R25/(J260+K260)*Worksheet!K260*Worksheet!K$241,0)</f>
        <v>#DIV/0!</v>
      </c>
      <c r="K313" s="211"/>
    </row>
    <row r="314" spans="1:11">
      <c r="A314" s="101">
        <f t="shared" si="80"/>
        <v>0</v>
      </c>
      <c r="B314" s="210">
        <f>IF((B261+C261)&lt;&gt;0,ROUND(Request!N26/Worksheet!H190*Worksheet!B261*Worksheet!$B$241+Request!N26/Worksheet!H190*Worksheet!C261*Worksheet!$C$241,0),0)</f>
        <v>0</v>
      </c>
      <c r="C314" s="211"/>
      <c r="D314" s="210" t="e">
        <f ca="1">ROUND(Request!O26/(D261+E261)*Worksheet!D261*Worksheet!D$241+Request!O26/(D261+E261)*Worksheet!E261*Worksheet!E$241,0)</f>
        <v>#DIV/0!</v>
      </c>
      <c r="E314" s="211"/>
      <c r="F314" s="210" t="e">
        <f ca="1">ROUND(Request!P26/(F261+G261)*Worksheet!F261*Worksheet!F$241+Request!P26/(F261+G261)*Worksheet!G261*Worksheet!G$241,0)</f>
        <v>#DIV/0!</v>
      </c>
      <c r="G314" s="211"/>
      <c r="H314" s="210" t="e">
        <f ca="1">ROUND(Request!Q26/(H261+I261)*Worksheet!H261*Worksheet!H$241+Request!Q26/(H261+I261)*Worksheet!I261*Worksheet!I$241,0)</f>
        <v>#DIV/0!</v>
      </c>
      <c r="I314" s="211"/>
      <c r="J314" s="210" t="e">
        <f ca="1">ROUND(Request!R26/(J261+K261)*Worksheet!J261*Worksheet!J$241+Request!R26/(J261+K261)*Worksheet!K261*Worksheet!K$241,0)</f>
        <v>#DIV/0!</v>
      </c>
      <c r="K314" s="211"/>
    </row>
    <row r="315" spans="1:11">
      <c r="A315" s="101">
        <f t="shared" si="80"/>
        <v>0</v>
      </c>
      <c r="B315" s="210">
        <f>IF((B262+C262)&lt;&gt;0,ROUND(Request!N27/Worksheet!H191*Worksheet!B262*Worksheet!$B$241+Request!N27/Worksheet!H191*Worksheet!C262*Worksheet!$C$241,0),0)</f>
        <v>0</v>
      </c>
      <c r="C315" s="211"/>
      <c r="D315" s="210" t="e">
        <f ca="1">ROUND(Request!O27/(D262+E262)*Worksheet!D262*Worksheet!D$241+Request!O27/(D262+E262)*Worksheet!E262*Worksheet!E$241,0)</f>
        <v>#DIV/0!</v>
      </c>
      <c r="E315" s="211"/>
      <c r="F315" s="210" t="e">
        <f ca="1">ROUND(Request!P27/(F262+G262)*Worksheet!F262*Worksheet!F$241+Request!P27/(F262+G262)*Worksheet!G262*Worksheet!G$241,0)</f>
        <v>#DIV/0!</v>
      </c>
      <c r="G315" s="211"/>
      <c r="H315" s="210" t="e">
        <f ca="1">ROUND(Request!Q27/(H262+I262)*Worksheet!H262*Worksheet!H$241+Request!Q27/(H262+I262)*Worksheet!I262*Worksheet!I$241,0)</f>
        <v>#DIV/0!</v>
      </c>
      <c r="I315" s="211"/>
      <c r="J315" s="210" t="e">
        <f ca="1">ROUND(Request!R27/(J262+K262)*Worksheet!J262*Worksheet!J$241+Request!R27/(J262+K262)*Worksheet!K262*Worksheet!K$241,0)</f>
        <v>#DIV/0!</v>
      </c>
      <c r="K315" s="211"/>
    </row>
    <row r="316" spans="1:11">
      <c r="A316" s="101">
        <f t="shared" si="80"/>
        <v>0</v>
      </c>
      <c r="B316" s="210">
        <f>IF((B263+C263)&lt;&gt;0,ROUND(Request!N28/Worksheet!H192*Worksheet!B263*Worksheet!$B$241+Request!N28/Worksheet!H192*Worksheet!C263*Worksheet!$C$241,0),0)</f>
        <v>0</v>
      </c>
      <c r="C316" s="211"/>
      <c r="D316" s="210" t="e">
        <f ca="1">ROUND(Request!O28/(D263+E263)*Worksheet!D263*Worksheet!D$241+Request!O28/(D263+E263)*Worksheet!E263*Worksheet!E$241,0)</f>
        <v>#DIV/0!</v>
      </c>
      <c r="E316" s="211"/>
      <c r="F316" s="210" t="e">
        <f ca="1">ROUND(Request!P28/(F263+G263)*Worksheet!F263*Worksheet!F$241+Request!P28/(F263+G263)*Worksheet!G263*Worksheet!G$241,0)</f>
        <v>#DIV/0!</v>
      </c>
      <c r="G316" s="211"/>
      <c r="H316" s="210" t="e">
        <f ca="1">ROUND(Request!Q28/(H263+I263)*Worksheet!H263*Worksheet!H$241+Request!Q28/(H263+I263)*Worksheet!I263*Worksheet!I$241,0)</f>
        <v>#DIV/0!</v>
      </c>
      <c r="I316" s="211"/>
      <c r="J316" s="210" t="e">
        <f ca="1">ROUND(Request!R28/(J263+K263)*Worksheet!J263*Worksheet!J$241+Request!R28/(J263+K263)*Worksheet!K263*Worksheet!K$241,0)</f>
        <v>#DIV/0!</v>
      </c>
      <c r="K316" s="211"/>
    </row>
    <row r="317" spans="1:11">
      <c r="A317" s="101">
        <f t="shared" si="80"/>
        <v>0</v>
      </c>
      <c r="B317" s="210">
        <f>IF((B264+C264)&lt;&gt;0,ROUND(Request!N29/Worksheet!H193*Worksheet!B264*Worksheet!$B$241+Request!N29/Worksheet!H193*Worksheet!C264*Worksheet!$C$241,0),0)</f>
        <v>0</v>
      </c>
      <c r="C317" s="211"/>
      <c r="D317" s="210" t="e">
        <f ca="1">ROUND(Request!O29/(D264+E264)*Worksheet!D264*Worksheet!D$241+Request!O29/(D264+E264)*Worksheet!E264*Worksheet!E$241,0)</f>
        <v>#DIV/0!</v>
      </c>
      <c r="E317" s="211"/>
      <c r="F317" s="210" t="e">
        <f ca="1">ROUND(Request!P29/(F264+G264)*Worksheet!F264*Worksheet!F$241+Request!P29/(F264+G264)*Worksheet!G264*Worksheet!G$241,0)</f>
        <v>#DIV/0!</v>
      </c>
      <c r="G317" s="211"/>
      <c r="H317" s="210" t="e">
        <f ca="1">ROUND(Request!Q29/(H264+I264)*Worksheet!H264*Worksheet!H$241+Request!Q29/(H264+I264)*Worksheet!I264*Worksheet!I$241,0)</f>
        <v>#DIV/0!</v>
      </c>
      <c r="I317" s="211"/>
      <c r="J317" s="210" t="e">
        <f ca="1">ROUND(Request!R29/(J264+K264)*Worksheet!J264*Worksheet!J$241+Request!R29/(J264+K264)*Worksheet!K264*Worksheet!K$241,0)</f>
        <v>#DIV/0!</v>
      </c>
      <c r="K317" s="211"/>
    </row>
    <row r="318" spans="1:11">
      <c r="A318" s="101">
        <f t="shared" si="80"/>
        <v>0</v>
      </c>
      <c r="B318" s="210">
        <f>IF((B265+C265)&lt;&gt;0,ROUND(Request!N30/Worksheet!H194*Worksheet!B265*Worksheet!$B$241+Request!N30/Worksheet!H194*Worksheet!C265*Worksheet!$C$241,0),0)</f>
        <v>0</v>
      </c>
      <c r="C318" s="211"/>
      <c r="D318" s="210" t="e">
        <f ca="1">ROUND(Request!O30/(D265+E265)*Worksheet!D265*Worksheet!D$241+Request!O30/(D265+E265)*Worksheet!E265*Worksheet!E$241,0)</f>
        <v>#DIV/0!</v>
      </c>
      <c r="E318" s="211"/>
      <c r="F318" s="210" t="e">
        <f ca="1">ROUND(Request!P30/(F265+G265)*Worksheet!F265*Worksheet!F$241+Request!P30/(F265+G265)*Worksheet!G265*Worksheet!G$241,0)</f>
        <v>#DIV/0!</v>
      </c>
      <c r="G318" s="211"/>
      <c r="H318" s="210" t="e">
        <f ca="1">ROUND(Request!Q30/(H265+I265)*Worksheet!H265*Worksheet!H$241+Request!Q30/(H265+I265)*Worksheet!I265*Worksheet!I$241,0)</f>
        <v>#DIV/0!</v>
      </c>
      <c r="I318" s="211"/>
      <c r="J318" s="210" t="e">
        <f ca="1">ROUND(Request!R30/(J265+K265)*Worksheet!J265*Worksheet!J$241+Request!R30/(J265+K265)*Worksheet!K265*Worksheet!K$241,0)</f>
        <v>#DIV/0!</v>
      </c>
      <c r="K318" s="211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topLeftCell="A39" workbookViewId="0">
      <selection activeCell="H86" sqref="H86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7" width="5.6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42248</v>
      </c>
      <c r="D1" s="241" t="s">
        <v>8</v>
      </c>
      <c r="E1" s="242"/>
      <c r="F1" s="280" t="s">
        <v>191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63"/>
    </row>
    <row r="2" spans="1:24" ht="13.25" customHeight="1">
      <c r="A2" s="74"/>
      <c r="B2" s="197" t="s">
        <v>2</v>
      </c>
      <c r="C2" s="51">
        <v>43343</v>
      </c>
      <c r="D2" s="241" t="s">
        <v>9</v>
      </c>
      <c r="E2" s="242"/>
      <c r="F2" s="280" t="s">
        <v>190</v>
      </c>
      <c r="G2" s="276"/>
      <c r="H2" s="276"/>
      <c r="I2" s="276"/>
      <c r="J2" s="276"/>
      <c r="K2" s="276"/>
      <c r="L2" s="276"/>
      <c r="M2" s="26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81" t="s">
        <v>4</v>
      </c>
      <c r="B4" s="282"/>
      <c r="C4" s="282"/>
      <c r="D4" s="282"/>
      <c r="E4" s="282"/>
      <c r="F4" s="282"/>
      <c r="G4" s="282"/>
      <c r="H4" s="282"/>
      <c r="I4" s="282"/>
      <c r="J4" s="283"/>
      <c r="K4" s="287" t="s">
        <v>69</v>
      </c>
      <c r="L4" s="288"/>
      <c r="M4" s="289"/>
      <c r="N4" s="55"/>
      <c r="O4" s="54"/>
      <c r="P4" s="266" t="s">
        <v>59</v>
      </c>
      <c r="Q4" s="266"/>
      <c r="R4" s="98" t="s">
        <v>187</v>
      </c>
      <c r="S4" s="207">
        <v>0.03</v>
      </c>
    </row>
    <row r="5" spans="1:24">
      <c r="A5" s="284"/>
      <c r="B5" s="285"/>
      <c r="C5" s="285"/>
      <c r="D5" s="285"/>
      <c r="E5" s="285"/>
      <c r="F5" s="285"/>
      <c r="G5" s="285"/>
      <c r="H5" s="285"/>
      <c r="I5" s="285"/>
      <c r="J5" s="286"/>
      <c r="K5" s="290"/>
      <c r="L5" s="291"/>
      <c r="M5" s="292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8" t="s">
        <v>67</v>
      </c>
      <c r="G6" s="269"/>
      <c r="H6" s="269"/>
      <c r="I6" s="269"/>
      <c r="J6" s="269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9/1/15-8/31/16</v>
      </c>
      <c r="O6" s="186" t="str">
        <f>TEXT(Worksheet!D2,"m/d/yy")&amp;"-"&amp;TEXT(Worksheet!D3,"m/d/yy")</f>
        <v>9/1/16-8/31/17</v>
      </c>
      <c r="P6" s="186" t="str">
        <f>TEXT(Worksheet!E2,"m/d/yy")&amp;"-"&amp;TEXT(Worksheet!E3,"m/d/yy")</f>
        <v>9/1/17-8/31/18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9/1/15-8/31/18</v>
      </c>
    </row>
    <row r="7" spans="1:24">
      <c r="A7" s="162">
        <v>1</v>
      </c>
      <c r="B7" s="262"/>
      <c r="C7" s="262"/>
      <c r="D7" s="273"/>
      <c r="E7" s="183">
        <v>0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0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0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0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0</v>
      </c>
      <c r="T7" s="61"/>
      <c r="U7" s="61"/>
      <c r="V7" s="61"/>
      <c r="W7" s="61"/>
      <c r="X7" s="61"/>
    </row>
    <row r="8" spans="1:24">
      <c r="A8" s="162">
        <v>2</v>
      </c>
      <c r="B8" s="262"/>
      <c r="C8" s="262"/>
      <c r="D8" s="175"/>
      <c r="E8" s="183">
        <v>0</v>
      </c>
      <c r="F8" s="105">
        <v>8.3330000000000001E-2</v>
      </c>
      <c r="G8" s="105">
        <v>8.3330000000000001E-2</v>
      </c>
      <c r="H8" s="105">
        <v>8.3330000000000001E-2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0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0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0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0</v>
      </c>
      <c r="T8" s="61"/>
      <c r="U8" s="61"/>
      <c r="V8" s="61"/>
      <c r="W8" s="61"/>
      <c r="X8" s="61"/>
    </row>
    <row r="9" spans="1:24">
      <c r="A9" s="162">
        <v>3</v>
      </c>
      <c r="B9" s="262"/>
      <c r="C9" s="262"/>
      <c r="D9" s="273"/>
      <c r="E9" s="183">
        <v>0</v>
      </c>
      <c r="F9" s="105">
        <v>0.61192999999999997</v>
      </c>
      <c r="G9" s="105">
        <v>0.61192999999999997</v>
      </c>
      <c r="H9" s="105">
        <v>0.61192999999999997</v>
      </c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0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0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0</v>
      </c>
      <c r="T9" s="61"/>
      <c r="U9" s="61"/>
      <c r="V9" s="61"/>
      <c r="W9" s="61"/>
      <c r="X9" s="61"/>
    </row>
    <row r="10" spans="1:24">
      <c r="A10" s="162">
        <v>4</v>
      </c>
      <c r="B10" s="262"/>
      <c r="C10" s="262"/>
      <c r="D10" s="273"/>
      <c r="E10" s="183">
        <v>0</v>
      </c>
      <c r="F10" s="105">
        <v>0.61192999999999997</v>
      </c>
      <c r="G10" s="105">
        <v>0.61192999999999997</v>
      </c>
      <c r="H10" s="105">
        <v>0.61192999999999997</v>
      </c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0</v>
      </c>
      <c r="T10" s="61"/>
      <c r="U10" s="61"/>
      <c r="V10" s="61"/>
      <c r="W10" s="61"/>
      <c r="X10" s="61"/>
    </row>
    <row r="11" spans="1:24">
      <c r="A11" s="162">
        <v>5</v>
      </c>
      <c r="B11" s="262"/>
      <c r="C11" s="262"/>
      <c r="D11" s="273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2"/>
      <c r="C12" s="262"/>
      <c r="D12" s="273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2"/>
      <c r="C13" s="262"/>
      <c r="D13" s="273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2"/>
      <c r="C14" s="262"/>
      <c r="D14" s="273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idden="1">
      <c r="A15" s="162">
        <v>9</v>
      </c>
      <c r="B15" s="262"/>
      <c r="C15" s="262"/>
      <c r="D15" s="273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2"/>
      <c r="C16" s="262"/>
      <c r="D16" s="273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2"/>
      <c r="C17" s="262"/>
      <c r="D17" s="273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2"/>
      <c r="C18" s="262"/>
      <c r="D18" s="273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2"/>
      <c r="C19" s="262"/>
      <c r="D19" s="273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2"/>
      <c r="C20" s="262"/>
      <c r="D20" s="273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2"/>
      <c r="C21" s="262"/>
      <c r="D21" s="273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2"/>
      <c r="C22" s="262"/>
      <c r="D22" s="273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2"/>
      <c r="C23" s="262"/>
      <c r="D23" s="273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2"/>
      <c r="C24" s="262"/>
      <c r="D24" s="273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2"/>
      <c r="C25" s="262"/>
      <c r="D25" s="273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2"/>
      <c r="C26" s="262"/>
      <c r="D26" s="273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2"/>
      <c r="C27" s="262"/>
      <c r="D27" s="273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2"/>
      <c r="C28" s="262"/>
      <c r="D28" s="273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2"/>
      <c r="C29" s="262"/>
      <c r="D29" s="273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2"/>
      <c r="C30" s="262"/>
      <c r="D30" s="273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>
      <c r="A31" s="231" t="s">
        <v>5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3"/>
      <c r="N31" s="158">
        <f ca="1">SUM(N7:N30)</f>
        <v>0</v>
      </c>
      <c r="O31" s="158">
        <f ca="1">SUM(O7:O30)</f>
        <v>0</v>
      </c>
      <c r="P31" s="158">
        <f t="shared" ref="P31:Q31" ca="1" si="1">SUM(P7:P30)</f>
        <v>0</v>
      </c>
      <c r="Q31" s="158">
        <f t="shared" ca="1" si="1"/>
        <v>0</v>
      </c>
      <c r="R31" s="158">
        <f ca="1">SUM(R7:R30)</f>
        <v>0</v>
      </c>
      <c r="S31" s="158">
        <f ca="1">SUM(S7:S30)</f>
        <v>0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10/2</v>
      </c>
      <c r="F33" s="267" t="str">
        <f>Worksheet!D9&amp;"/"&amp;Worksheet!D10</f>
        <v>10/2</v>
      </c>
      <c r="G33" s="267"/>
      <c r="H33" s="267" t="str">
        <f>Worksheet!E9&amp;"/"&amp;Worksheet!E10</f>
        <v>10/2</v>
      </c>
      <c r="I33" s="267"/>
      <c r="J33" s="267" t="str">
        <f>Worksheet!F9&amp;"/"&amp;Worksheet!F10</f>
        <v>0/0</v>
      </c>
      <c r="K33" s="267"/>
      <c r="L33" s="267" t="str">
        <f>Worksheet!G9&amp;"/"&amp;Worksheet!G10</f>
        <v>0/0</v>
      </c>
      <c r="M33" s="267"/>
    </row>
    <row r="34" spans="1:24">
      <c r="A34" s="270" t="s">
        <v>18</v>
      </c>
      <c r="B34" s="271"/>
      <c r="C34" s="272"/>
      <c r="D34" s="177" t="s">
        <v>6</v>
      </c>
      <c r="E34" s="177" t="s">
        <v>19</v>
      </c>
      <c r="F34" s="264" t="s">
        <v>19</v>
      </c>
      <c r="G34" s="265"/>
      <c r="H34" s="264" t="s">
        <v>19</v>
      </c>
      <c r="I34" s="265"/>
      <c r="J34" s="264" t="s">
        <v>19</v>
      </c>
      <c r="K34" s="265"/>
      <c r="L34" s="264" t="s">
        <v>19</v>
      </c>
      <c r="M34" s="265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2">
        <f t="shared" ref="B35:B58" si="2">B7</f>
        <v>0</v>
      </c>
      <c r="C35" s="263"/>
      <c r="D35" s="179" t="s">
        <v>179</v>
      </c>
      <c r="E35" s="179" t="str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17/18</v>
      </c>
      <c r="F35" s="258" t="str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18/18.5</v>
      </c>
      <c r="G35" s="238"/>
      <c r="H35" s="260" t="str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18.5/19.1</v>
      </c>
      <c r="I35" s="261"/>
      <c r="J35" s="260"/>
      <c r="K35" s="261"/>
      <c r="L35" s="260"/>
      <c r="M35" s="261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0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0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0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0</v>
      </c>
      <c r="T35" s="65"/>
      <c r="U35" s="65"/>
      <c r="V35" s="65"/>
      <c r="W35" s="65"/>
      <c r="X35" s="65"/>
    </row>
    <row r="36" spans="1:24">
      <c r="A36" s="162">
        <v>2</v>
      </c>
      <c r="B36" s="262">
        <f t="shared" si="2"/>
        <v>0</v>
      </c>
      <c r="C36" s="263"/>
      <c r="D36" s="179" t="s">
        <v>179</v>
      </c>
      <c r="E36" s="202" t="str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17/18</v>
      </c>
      <c r="F36" s="258" t="str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18/18.5</v>
      </c>
      <c r="G36" s="238"/>
      <c r="H36" s="260" t="str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18.5/19.1</v>
      </c>
      <c r="I36" s="261"/>
      <c r="J36" s="260"/>
      <c r="K36" s="261"/>
      <c r="L36" s="260"/>
      <c r="M36" s="261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0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0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0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0</v>
      </c>
      <c r="T36" s="65"/>
      <c r="U36" s="65"/>
      <c r="V36" s="65"/>
      <c r="W36" s="65"/>
      <c r="X36" s="65"/>
    </row>
    <row r="37" spans="1:24">
      <c r="A37" s="162">
        <v>3</v>
      </c>
      <c r="B37" s="262">
        <f t="shared" si="2"/>
        <v>0</v>
      </c>
      <c r="C37" s="263"/>
      <c r="D37" s="179" t="s">
        <v>33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1.3</v>
      </c>
      <c r="F37" s="258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1.3</v>
      </c>
      <c r="G37" s="238"/>
      <c r="H37" s="260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1.3</v>
      </c>
      <c r="I37" s="261"/>
      <c r="J37" s="260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61"/>
      <c r="L37" s="260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61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0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0</v>
      </c>
      <c r="T37" s="65"/>
      <c r="U37" s="65"/>
      <c r="V37" s="65"/>
      <c r="W37" s="65"/>
      <c r="X37" s="65"/>
    </row>
    <row r="38" spans="1:24">
      <c r="A38" s="162">
        <v>4</v>
      </c>
      <c r="B38" s="262">
        <f t="shared" si="2"/>
        <v>0</v>
      </c>
      <c r="C38" s="263"/>
      <c r="D38" s="179" t="s">
        <v>33</v>
      </c>
      <c r="E38" s="202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>1.3</v>
      </c>
      <c r="F38" s="258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>1.3</v>
      </c>
      <c r="G38" s="238"/>
      <c r="H38" s="260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>1.3</v>
      </c>
      <c r="I38" s="261"/>
      <c r="J38" s="260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61"/>
      <c r="L38" s="260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61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0</v>
      </c>
      <c r="T38" s="65"/>
      <c r="U38" s="65"/>
      <c r="V38" s="65"/>
      <c r="W38" s="65"/>
      <c r="X38" s="65"/>
    </row>
    <row r="39" spans="1:24">
      <c r="A39" s="162">
        <v>5</v>
      </c>
      <c r="B39" s="262">
        <f t="shared" si="2"/>
        <v>0</v>
      </c>
      <c r="C39" s="26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8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8"/>
      <c r="H39" s="260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61"/>
      <c r="J39" s="260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61"/>
      <c r="L39" s="260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61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2">
        <f t="shared" si="2"/>
        <v>0</v>
      </c>
      <c r="C40" s="26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8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8"/>
      <c r="H40" s="260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61"/>
      <c r="J40" s="260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61"/>
      <c r="L40" s="260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61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2">
        <f t="shared" si="2"/>
        <v>0</v>
      </c>
      <c r="C41" s="26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8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8"/>
      <c r="H41" s="260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61"/>
      <c r="J41" s="260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61"/>
      <c r="L41" s="260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61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2">
        <f t="shared" si="2"/>
        <v>0</v>
      </c>
      <c r="C42" s="26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8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8"/>
      <c r="H42" s="260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61"/>
      <c r="J42" s="260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61"/>
      <c r="L42" s="260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61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2">
        <f t="shared" si="2"/>
        <v>0</v>
      </c>
      <c r="C43" s="26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8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8"/>
      <c r="H43" s="260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61"/>
      <c r="J43" s="260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61"/>
      <c r="L43" s="260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61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2">
        <f t="shared" si="2"/>
        <v>0</v>
      </c>
      <c r="C44" s="26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8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8"/>
      <c r="H44" s="260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61"/>
      <c r="J44" s="260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61"/>
      <c r="L44" s="260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61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2">
        <f t="shared" si="2"/>
        <v>0</v>
      </c>
      <c r="C45" s="26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8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8"/>
      <c r="H45" s="260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61"/>
      <c r="J45" s="260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61"/>
      <c r="L45" s="260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61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2">
        <f t="shared" si="2"/>
        <v>0</v>
      </c>
      <c r="C46" s="26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8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8"/>
      <c r="H46" s="260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61"/>
      <c r="J46" s="260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61"/>
      <c r="L46" s="260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61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2">
        <f t="shared" si="2"/>
        <v>0</v>
      </c>
      <c r="C47" s="26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8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8"/>
      <c r="H47" s="260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61"/>
      <c r="J47" s="260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61"/>
      <c r="L47" s="260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61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2">
        <f t="shared" si="2"/>
        <v>0</v>
      </c>
      <c r="C48" s="26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8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8"/>
      <c r="H48" s="260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61"/>
      <c r="J48" s="260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61"/>
      <c r="L48" s="260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61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2">
        <f t="shared" si="2"/>
        <v>0</v>
      </c>
      <c r="C49" s="26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8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8"/>
      <c r="H49" s="260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61"/>
      <c r="J49" s="260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61"/>
      <c r="L49" s="260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61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2">
        <f t="shared" si="2"/>
        <v>0</v>
      </c>
      <c r="C50" s="26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8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8"/>
      <c r="H50" s="260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61"/>
      <c r="J50" s="260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61"/>
      <c r="L50" s="260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61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2">
        <f t="shared" si="2"/>
        <v>0</v>
      </c>
      <c r="C51" s="26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8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8"/>
      <c r="H51" s="260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61"/>
      <c r="J51" s="260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61"/>
      <c r="L51" s="260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61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2">
        <f t="shared" si="2"/>
        <v>0</v>
      </c>
      <c r="C52" s="26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8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8"/>
      <c r="H52" s="260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61"/>
      <c r="J52" s="260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61"/>
      <c r="L52" s="260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61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2">
        <f t="shared" si="2"/>
        <v>0</v>
      </c>
      <c r="C53" s="26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8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8"/>
      <c r="H53" s="260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61"/>
      <c r="J53" s="260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61"/>
      <c r="L53" s="260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61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2">
        <f t="shared" si="2"/>
        <v>0</v>
      </c>
      <c r="C54" s="26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8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8"/>
      <c r="H54" s="260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61"/>
      <c r="J54" s="260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61"/>
      <c r="L54" s="260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61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2">
        <f t="shared" si="2"/>
        <v>0</v>
      </c>
      <c r="C55" s="26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8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8"/>
      <c r="H55" s="260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61"/>
      <c r="J55" s="260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61"/>
      <c r="L55" s="260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61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2">
        <f t="shared" si="2"/>
        <v>0</v>
      </c>
      <c r="C56" s="26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8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8"/>
      <c r="H56" s="260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61"/>
      <c r="J56" s="260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61"/>
      <c r="L56" s="260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61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2">
        <f t="shared" si="2"/>
        <v>0</v>
      </c>
      <c r="C57" s="26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8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8"/>
      <c r="H57" s="260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61"/>
      <c r="J57" s="260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61"/>
      <c r="L57" s="260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61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2">
        <f t="shared" si="2"/>
        <v>0</v>
      </c>
      <c r="C58" s="26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8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8"/>
      <c r="H58" s="260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61"/>
      <c r="J58" s="260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61"/>
      <c r="L58" s="260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61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>
      <c r="A59" s="231" t="s">
        <v>7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3"/>
      <c r="N59" s="171">
        <f ca="1">ROUND(SUM(N35:N58),0)</f>
        <v>0</v>
      </c>
      <c r="O59" s="171">
        <f t="shared" ref="O59:S59" ca="1" si="4">SUM(O35:O58)</f>
        <v>0</v>
      </c>
      <c r="P59" s="171">
        <f t="shared" ca="1" si="4"/>
        <v>0</v>
      </c>
      <c r="Q59" s="171">
        <f t="shared" ca="1" si="4"/>
        <v>0</v>
      </c>
      <c r="R59" s="171">
        <f t="shared" ca="1" si="4"/>
        <v>0</v>
      </c>
      <c r="S59" s="171">
        <f t="shared" ca="1" si="4"/>
        <v>0</v>
      </c>
    </row>
    <row r="60" spans="1:24">
      <c r="A60" s="231" t="s">
        <v>22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  <c r="N60" s="171">
        <f t="shared" ref="N60:S60" ca="1" si="5">N31+N59</f>
        <v>0</v>
      </c>
      <c r="O60" s="171">
        <f t="shared" ca="1" si="5"/>
        <v>0</v>
      </c>
      <c r="P60" s="171">
        <f t="shared" ca="1" si="5"/>
        <v>0</v>
      </c>
      <c r="Q60" s="171">
        <f t="shared" ca="1" si="5"/>
        <v>0</v>
      </c>
      <c r="R60" s="171">
        <f t="shared" ca="1" si="5"/>
        <v>0</v>
      </c>
      <c r="S60" s="171">
        <f t="shared" ca="1" si="5"/>
        <v>0</v>
      </c>
    </row>
    <row r="62" spans="1:24">
      <c r="A62" s="249" t="s">
        <v>70</v>
      </c>
      <c r="B62" s="250"/>
      <c r="C62" s="25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9" t="s">
        <v>71</v>
      </c>
      <c r="B72" s="250"/>
      <c r="C72" s="25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9" t="s">
        <v>72</v>
      </c>
      <c r="B74" s="250"/>
      <c r="C74" s="250"/>
      <c r="D74" s="66"/>
      <c r="E74" s="66"/>
      <c r="F74" s="66"/>
      <c r="G74" s="66"/>
      <c r="H74" s="66"/>
      <c r="I74" s="66"/>
      <c r="J74" s="66"/>
      <c r="K74" s="293" t="s">
        <v>175</v>
      </c>
      <c r="L74" s="293"/>
      <c r="M74" s="294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192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177</v>
      </c>
      <c r="N75" s="152">
        <v>1400</v>
      </c>
      <c r="O75" s="152">
        <v>1400</v>
      </c>
      <c r="P75" s="152">
        <v>1400</v>
      </c>
      <c r="Q75" s="152"/>
      <c r="R75" s="152"/>
      <c r="S75" s="151">
        <f>SUM(N75:R75)</f>
        <v>4200</v>
      </c>
    </row>
    <row r="76" spans="1:19">
      <c r="A76" s="161"/>
      <c r="B76" s="68" t="s">
        <v>193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>
        <v>1250</v>
      </c>
      <c r="O76" s="152">
        <v>1250</v>
      </c>
      <c r="P76" s="152">
        <v>1250</v>
      </c>
      <c r="Q76" s="152"/>
      <c r="R76" s="152"/>
      <c r="S76" s="151">
        <f t="shared" ref="S76:S83" si="10">SUM(N76:R76)</f>
        <v>3750</v>
      </c>
    </row>
    <row r="77" spans="1:19">
      <c r="A77" s="1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/>
      <c r="Q77" s="152"/>
      <c r="R77" s="152"/>
      <c r="S77" s="151">
        <f t="shared" si="10"/>
        <v>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9" t="s">
        <v>73</v>
      </c>
      <c r="B84" s="250"/>
      <c r="C84" s="25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2650</v>
      </c>
      <c r="O84" s="154">
        <f t="shared" ref="O84" si="11">SUM(O75:O83)</f>
        <v>2650</v>
      </c>
      <c r="P84" s="154">
        <f t="shared" ref="P84" si="12">SUM(P75:P83)</f>
        <v>2650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7950</v>
      </c>
    </row>
    <row r="86" spans="1:19">
      <c r="A86" s="249" t="s">
        <v>74</v>
      </c>
      <c r="B86" s="250"/>
      <c r="C86" s="25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/>
      <c r="O87" s="80"/>
      <c r="P87" s="80"/>
      <c r="Q87" s="80"/>
      <c r="R87" s="80"/>
      <c r="S87" s="151">
        <f>SUM(N87:R87)</f>
        <v>0</v>
      </c>
    </row>
    <row r="88" spans="1:19">
      <c r="A88" s="1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/>
      <c r="O88" s="80"/>
      <c r="P88" s="80"/>
      <c r="Q88" s="80"/>
      <c r="R88" s="80"/>
      <c r="S88" s="151">
        <f t="shared" ref="S88:S95" si="16">SUM(N88:R88)</f>
        <v>0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9" t="s">
        <v>75</v>
      </c>
      <c r="B96" s="250"/>
      <c r="C96" s="25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0</v>
      </c>
      <c r="O96" s="154">
        <f t="shared" ref="O96" si="17">SUM(O87:O95)</f>
        <v>0</v>
      </c>
      <c r="P96" s="154">
        <f t="shared" ref="P96" si="18">SUM(P87:P95)</f>
        <v>0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0</v>
      </c>
    </row>
    <row r="98" spans="1:19" hidden="1">
      <c r="A98" s="249" t="s">
        <v>76</v>
      </c>
      <c r="B98" s="250"/>
      <c r="C98" s="250"/>
      <c r="D98" s="66"/>
      <c r="E98" s="66"/>
      <c r="F98" s="66"/>
      <c r="G98" s="66"/>
      <c r="H98" s="66"/>
      <c r="I98" s="66"/>
      <c r="J98" s="66"/>
      <c r="K98" s="255" t="s">
        <v>78</v>
      </c>
      <c r="L98" s="256"/>
      <c r="M98" s="257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hidden="1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8" t="s">
        <v>129</v>
      </c>
      <c r="L99" s="259"/>
      <c r="M99" s="238"/>
      <c r="N99" s="151"/>
      <c r="O99" s="151"/>
      <c r="P99" s="151"/>
      <c r="Q99" s="151"/>
      <c r="R99" s="151"/>
      <c r="S99" s="151">
        <f>SUM(N99:R99)</f>
        <v>0</v>
      </c>
    </row>
    <row r="100" spans="1:19" hidden="1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8" t="s">
        <v>129</v>
      </c>
      <c r="L100" s="259"/>
      <c r="M100" s="23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hidden="1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2" t="s">
        <v>129</v>
      </c>
      <c r="L101" s="253"/>
      <c r="M101" s="254"/>
      <c r="N101" s="151"/>
      <c r="O101" s="151"/>
      <c r="P101" s="151"/>
      <c r="Q101" s="151"/>
      <c r="R101" s="151"/>
      <c r="S101" s="151">
        <f t="shared" si="22"/>
        <v>0</v>
      </c>
    </row>
    <row r="102" spans="1:19" hidden="1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2" t="s">
        <v>129</v>
      </c>
      <c r="L102" s="253"/>
      <c r="M102" s="254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2" t="s">
        <v>129</v>
      </c>
      <c r="L103" s="253"/>
      <c r="M103" s="254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2" t="s">
        <v>129</v>
      </c>
      <c r="L104" s="253"/>
      <c r="M104" s="254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2" t="s">
        <v>128</v>
      </c>
      <c r="L105" s="253"/>
      <c r="M105" s="254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2" t="s">
        <v>129</v>
      </c>
      <c r="L106" s="253"/>
      <c r="M106" s="254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2" t="s">
        <v>129</v>
      </c>
      <c r="L107" s="253"/>
      <c r="M107" s="254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2" t="s">
        <v>129</v>
      </c>
      <c r="L108" s="253"/>
      <c r="M108" s="254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2" t="s">
        <v>128</v>
      </c>
      <c r="L109" s="253"/>
      <c r="M109" s="254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2" t="s">
        <v>129</v>
      </c>
      <c r="L110" s="253"/>
      <c r="M110" s="254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2" t="s">
        <v>128</v>
      </c>
      <c r="L111" s="253"/>
      <c r="M111" s="254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2" t="s">
        <v>129</v>
      </c>
      <c r="L112" s="253"/>
      <c r="M112" s="254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2" t="s">
        <v>128</v>
      </c>
      <c r="L113" s="253"/>
      <c r="M113" s="254"/>
      <c r="N113" s="151"/>
      <c r="O113" s="151"/>
      <c r="P113" s="151"/>
      <c r="Q113" s="151"/>
      <c r="R113" s="151"/>
      <c r="S113" s="151">
        <f t="shared" si="22"/>
        <v>0</v>
      </c>
    </row>
    <row r="114" spans="1:19" hidden="1">
      <c r="A114" s="249" t="s">
        <v>77</v>
      </c>
      <c r="B114" s="250"/>
      <c r="C114" s="25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5" spans="1:19" hidden="1"/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9" t="s">
        <v>82</v>
      </c>
      <c r="B129" s="250"/>
      <c r="C129" s="25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5" t="s">
        <v>88</v>
      </c>
      <c r="B131" s="296"/>
      <c r="C131" s="296"/>
      <c r="D131" s="297"/>
      <c r="E131" s="182" t="s">
        <v>85</v>
      </c>
      <c r="F131" s="181" t="s">
        <v>15</v>
      </c>
      <c r="G131" s="251" t="s">
        <v>86</v>
      </c>
      <c r="H131" s="251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0</v>
      </c>
      <c r="O131" s="170">
        <f t="shared" ref="O131:R131" ca="1" si="34">SUM(O132:O134)</f>
        <v>0</v>
      </c>
      <c r="P131" s="170">
        <f t="shared" ca="1" si="34"/>
        <v>0</v>
      </c>
      <c r="Q131" s="170">
        <f t="shared" ca="1" si="34"/>
        <v>0</v>
      </c>
      <c r="R131" s="170">
        <f t="shared" ca="1" si="34"/>
        <v>0</v>
      </c>
      <c r="S131" s="157">
        <f ca="1">SUM(N131:R131)</f>
        <v>0</v>
      </c>
    </row>
    <row r="132" spans="1:20">
      <c r="A132" s="74"/>
      <c r="B132" s="75" t="s">
        <v>83</v>
      </c>
      <c r="C132" s="76"/>
      <c r="D132" s="277" t="s">
        <v>188</v>
      </c>
      <c r="E132" s="176">
        <v>0.1</v>
      </c>
      <c r="F132" s="277" t="s">
        <v>153</v>
      </c>
      <c r="G132" s="274">
        <v>16541</v>
      </c>
      <c r="H132" s="275"/>
      <c r="I132" s="60"/>
      <c r="J132" s="60"/>
      <c r="K132" s="60"/>
      <c r="L132" s="60"/>
      <c r="M132" s="60"/>
      <c r="N132" s="80">
        <v>0</v>
      </c>
      <c r="O132" s="80">
        <v>0</v>
      </c>
      <c r="P132" s="80">
        <v>0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0</v>
      </c>
      <c r="T132" s="59"/>
    </row>
    <row r="133" spans="1:20">
      <c r="A133" s="74"/>
      <c r="B133" s="276" t="s">
        <v>84</v>
      </c>
      <c r="C133" s="263"/>
      <c r="D133" s="278"/>
      <c r="E133" s="176">
        <v>0.1</v>
      </c>
      <c r="F133" s="278"/>
      <c r="G133" s="274">
        <v>31643</v>
      </c>
      <c r="H133" s="275"/>
      <c r="I133" s="60"/>
      <c r="J133" s="60"/>
      <c r="K133" s="60"/>
      <c r="L133" s="60"/>
      <c r="M133" s="60"/>
      <c r="N133" s="80"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>
      <c r="A134" s="74"/>
      <c r="B134" s="276" t="s">
        <v>94</v>
      </c>
      <c r="C134" s="263"/>
      <c r="D134" s="279"/>
      <c r="E134" s="176">
        <v>0.1</v>
      </c>
      <c r="F134" s="279"/>
      <c r="G134" s="274">
        <f>16541/2</f>
        <v>8270.5</v>
      </c>
      <c r="H134" s="275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7" t="s">
        <v>135</v>
      </c>
      <c r="H135" s="248"/>
      <c r="I135" s="234" t="s">
        <v>189</v>
      </c>
      <c r="J135" s="235"/>
      <c r="K135" s="235"/>
      <c r="L135" s="235"/>
      <c r="M135" s="236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/>
      <c r="O151" s="152"/>
      <c r="P151" s="152"/>
      <c r="Q151" s="152"/>
      <c r="R151" s="152"/>
      <c r="S151" s="155">
        <f t="shared" ref="S151:S159" si="37">SUM(N151:R151)</f>
        <v>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0</v>
      </c>
      <c r="O159" s="158">
        <f t="shared" ref="O159:R159" ca="1" si="38">SUM(O132:O158)</f>
        <v>0</v>
      </c>
      <c r="P159" s="158">
        <f t="shared" ca="1" si="38"/>
        <v>0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0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2650</v>
      </c>
      <c r="O161" s="78">
        <f t="shared" ref="O161:R161" ca="1" si="39">O60+O72+O84+O96+O114+O126+O159</f>
        <v>2650</v>
      </c>
      <c r="P161" s="78">
        <f t="shared" ca="1" si="39"/>
        <v>2650</v>
      </c>
      <c r="Q161" s="78">
        <f t="shared" ca="1" si="39"/>
        <v>0</v>
      </c>
      <c r="R161" s="78">
        <f t="shared" ca="1" si="39"/>
        <v>0</v>
      </c>
      <c r="S161" s="78">
        <f ca="1">SUM(N161:R161)</f>
        <v>7950</v>
      </c>
    </row>
    <row r="162" spans="1:19">
      <c r="A162" s="79" t="s">
        <v>100</v>
      </c>
      <c r="B162" s="68"/>
      <c r="C162" s="68"/>
      <c r="D162" s="242" t="s">
        <v>103</v>
      </c>
      <c r="E162" s="243"/>
      <c r="F162" s="280" t="s">
        <v>105</v>
      </c>
      <c r="G162" s="276"/>
      <c r="H162" s="276"/>
      <c r="I162" s="276"/>
      <c r="J162" s="276"/>
      <c r="K162" s="276"/>
      <c r="L162" s="276"/>
      <c r="M162" s="263"/>
      <c r="N162" s="80">
        <f ca="1">IF($H$164&lt;&gt;"Custom",(IF(F162&lt;&gt;Worksheet!A91,Worksheet!C157,IF(Request!H164="MTDC",Worksheet!C157,IF(Request!H164="TDC",Worksheet!C158,IF(Request!H164="TC",Worksheet!C159))))),0)</f>
        <v>2650</v>
      </c>
      <c r="O162" s="80">
        <f ca="1">IF($H$164&lt;&gt;"Custom",IF($F$162&lt;&gt;Worksheet!$A$91,Worksheet!D157,IF(Request!$H$164="MTDC",Worksheet!D157,IF(Request!$H$164="TDC",Worksheet!D158,IF(Request!$H$164="TC",Worksheet!D159)))),0)</f>
        <v>2650</v>
      </c>
      <c r="P162" s="80">
        <f ca="1">IF($H$164&lt;&gt;"Custom",IF($F$162&lt;&gt;Worksheet!$A$91,Worksheet!E157,IF(Request!$H$164="MTDC",Worksheet!E157,IF(Request!$H$164="TDC",Worksheet!E158,IF(Request!$H$164="TC",Worksheet!E159)))),0)</f>
        <v>2650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7950</v>
      </c>
    </row>
    <row r="163" spans="1:19" hidden="1">
      <c r="A163" s="167" t="s">
        <v>118</v>
      </c>
      <c r="D163" s="81"/>
      <c r="E163" s="244" t="s">
        <v>119</v>
      </c>
      <c r="F163" s="245"/>
      <c r="G163" s="245"/>
      <c r="H163" s="245"/>
      <c r="I163" s="245"/>
      <c r="J163" s="245"/>
      <c r="K163" s="245"/>
      <c r="L163" s="245"/>
      <c r="M163" s="246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41" t="s">
        <v>114</v>
      </c>
      <c r="F164" s="242"/>
      <c r="G164" s="243"/>
      <c r="H164" s="239" t="s">
        <v>115</v>
      </c>
      <c r="I164" s="240"/>
      <c r="J164" s="241" t="s">
        <v>117</v>
      </c>
      <c r="K164" s="242"/>
      <c r="L164" s="237">
        <v>0.2</v>
      </c>
      <c r="M164" s="238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1499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1511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1511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4521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4149</v>
      </c>
      <c r="O165" s="86">
        <f t="shared" ca="1" si="40"/>
        <v>4161</v>
      </c>
      <c r="P165" s="86">
        <f t="shared" ca="1" si="40"/>
        <v>4161</v>
      </c>
      <c r="Q165" s="86">
        <f t="shared" ca="1" si="40"/>
        <v>0</v>
      </c>
      <c r="R165" s="86">
        <f t="shared" ca="1" si="40"/>
        <v>0</v>
      </c>
      <c r="S165" s="86">
        <f t="shared" ca="1" si="40"/>
        <v>12471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2" t="s">
        <v>154</v>
      </c>
      <c r="C2" s="313"/>
      <c r="D2" s="313"/>
      <c r="E2" s="313"/>
      <c r="F2" s="313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4" t="s">
        <v>156</v>
      </c>
      <c r="D3" s="314"/>
      <c r="E3" s="109"/>
      <c r="F3" s="314" t="s">
        <v>157</v>
      </c>
      <c r="G3" s="314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2">
        <f>Request!C1</f>
        <v>42248</v>
      </c>
      <c r="D5" s="302"/>
      <c r="E5" s="147"/>
      <c r="F5" s="315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5"/>
      <c r="H5" s="316">
        <f ca="1">IF(AND(F5&lt;&gt;"",F5&lt;Worksheet!C3),(Request!N162-SUM(Request!N136:'Request'!N140))/Worksheet!C5*Worksheet!C6,Request!N162-SUM(Request!N136:'Request'!N140))</f>
        <v>2208.3333333333335</v>
      </c>
      <c r="I5" s="316"/>
      <c r="J5" s="118">
        <f>Worksheet!B97</f>
        <v>0.56499999999999995</v>
      </c>
      <c r="K5" s="119">
        <f ca="1">ROUND(H5*J5,0)</f>
        <v>1248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>
      <c r="B6" s="115" t="s">
        <v>164</v>
      </c>
      <c r="C6" s="302">
        <f>IF(F5&lt;Worksheet!C3,DATE(YEAR('F&amp;A Details'!F5),MONTH('F&amp;A Details'!F5),DAY('F&amp;A Details'!F5)+1),"")</f>
        <v>42552</v>
      </c>
      <c r="D6" s="302"/>
      <c r="E6" s="116"/>
      <c r="F6" s="317">
        <f>IF(F5&lt;Worksheet!C3,Worksheet!C3,"")</f>
        <v>42613</v>
      </c>
      <c r="G6" s="317"/>
      <c r="H6" s="310">
        <f ca="1">IF(F5&lt;Worksheet!C3,Request!N162-'F&amp;A Details'!H7-'F&amp;A Details'!H5,0)</f>
        <v>441.66666666666652</v>
      </c>
      <c r="I6" s="310"/>
      <c r="J6" s="118">
        <f ca="1">IF(H6&lt;&gt;0,Worksheet!C97,"")</f>
        <v>0.56999999999999995</v>
      </c>
      <c r="K6" s="119">
        <f ca="1">IF(H6&lt;&gt;0,Request!N164-'F&amp;A Details'!K5-'F&amp;A Details'!K7,0)</f>
        <v>251</v>
      </c>
      <c r="L6" s="120" t="str">
        <f ca="1">IF(K6&lt;&gt;0,L5,"")</f>
        <v>MTDC</v>
      </c>
      <c r="M6" s="121" t="b">
        <f ca="1">K5+K6+K7=Request!N164</f>
        <v>1</v>
      </c>
    </row>
    <row r="7" spans="2:14">
      <c r="B7" s="122" t="s">
        <v>165</v>
      </c>
      <c r="C7" s="123"/>
      <c r="D7" s="124">
        <f>C5</f>
        <v>42248</v>
      </c>
      <c r="E7" s="123"/>
      <c r="F7" s="318">
        <f>Worksheet!C3</f>
        <v>42613</v>
      </c>
      <c r="G7" s="318"/>
      <c r="H7" s="308">
        <f>SUM(Request!N136:N140)</f>
        <v>0</v>
      </c>
      <c r="I7" s="308"/>
      <c r="J7" s="125">
        <f>IF(Request!I135="Federal",Worksheet!B92,Worksheet!B93)</f>
        <v>0.89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9"/>
      <c r="G8" s="309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42614</v>
      </c>
      <c r="E9" s="116"/>
      <c r="F9" s="302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42978</v>
      </c>
      <c r="G9" s="302"/>
      <c r="H9" s="310">
        <f ca="1">IF(AND(F9&lt;&gt;"",F9&lt;Worksheet!D3),(Request!O162-SUM(Request!O136:O140))/Worksheet!D5*Worksheet!D6,Request!O162-SUM(Request!O136:O140))</f>
        <v>2650</v>
      </c>
      <c r="I9" s="310"/>
      <c r="J9" s="148">
        <f>Worksheet!D97</f>
        <v>0.56999999999999995</v>
      </c>
      <c r="K9" s="119">
        <f ca="1">ROUND(H9*J9,0)</f>
        <v>1511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2" t="str">
        <f>IF(F9&lt;Worksheet!D3,Worksheet!D3,"")</f>
        <v/>
      </c>
      <c r="G10" s="302"/>
      <c r="H10" s="311">
        <f>IF(F9&lt;Worksheet!D3,Request!O162-'F&amp;A Details'!H11-'F&amp;A Details'!H9,0)</f>
        <v>0</v>
      </c>
      <c r="I10" s="311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>
      <c r="B11" s="122" t="s">
        <v>165</v>
      </c>
      <c r="C11" s="123"/>
      <c r="D11" s="124">
        <f>IF(D9&lt;&gt;"",D9,"")</f>
        <v>42614</v>
      </c>
      <c r="E11" s="123"/>
      <c r="F11" s="298">
        <f>Worksheet!D3</f>
        <v>42978</v>
      </c>
      <c r="G11" s="298"/>
      <c r="H11" s="320">
        <f>SUM(Request!O136:O140)</f>
        <v>0</v>
      </c>
      <c r="I11" s="320"/>
      <c r="J11" s="125">
        <f>IF(Request!I135="Federal",Worksheet!E92,Worksheet!E93)</f>
        <v>0.89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42979</v>
      </c>
      <c r="E13" s="116"/>
      <c r="F13" s="302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43343</v>
      </c>
      <c r="G13" s="302"/>
      <c r="H13" s="303">
        <f ca="1">IF(AND(F13&lt;&gt;"",F13&lt;Worksheet!E3),(Request!P162-SUM(Request!P136:P140))/Worksheet!E5*Worksheet!E6,Request!P162-SUM(Request!P136:P140))</f>
        <v>2650</v>
      </c>
      <c r="I13" s="303"/>
      <c r="J13" s="118">
        <f>Worksheet!F97</f>
        <v>0.56999999999999995</v>
      </c>
      <c r="K13" s="119">
        <f ca="1">ROUND(H13*J13,0)</f>
        <v>1511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2" t="str">
        <f>IF(F13&lt;Worksheet!E3,Worksheet!E3,"")</f>
        <v/>
      </c>
      <c r="G14" s="302"/>
      <c r="H14" s="303">
        <f>IF(F13&lt;Worksheet!E3,Request!P162-'F&amp;A Details'!H15-'F&amp;A Details'!H13,0)</f>
        <v>0</v>
      </c>
      <c r="I14" s="303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>
      <c r="B15" s="122" t="s">
        <v>165</v>
      </c>
      <c r="C15" s="123"/>
      <c r="D15" s="124">
        <f>IF(D13&lt;&gt;"",D13,"")</f>
        <v>42979</v>
      </c>
      <c r="E15" s="123"/>
      <c r="F15" s="298">
        <f>Worksheet!E3</f>
        <v>43343</v>
      </c>
      <c r="G15" s="298"/>
      <c r="H15" s="304">
        <f>SUM(Request!P136:P140)</f>
        <v>0</v>
      </c>
      <c r="I15" s="304"/>
      <c r="J15" s="125">
        <f>IF(Request!I135="Federal",Worksheet!E92,Worksheet!E93)</f>
        <v>0.89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5" t="str">
        <f>IF(Worksheet!F3&lt;&gt;"",Worksheet!F3,"")</f>
        <v/>
      </c>
      <c r="G17" s="306"/>
      <c r="H17" s="307">
        <f>Request!Q162-'F&amp;A Details'!H18</f>
        <v>0</v>
      </c>
      <c r="I17" s="307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9" t="str">
        <f>Worksheet!F3</f>
        <v/>
      </c>
      <c r="G18" s="319"/>
      <c r="H18" s="299">
        <f>SUM(Request!Q136:Q140)</f>
        <v>0</v>
      </c>
      <c r="I18" s="299"/>
      <c r="J18" s="140">
        <f>IF(Request!I135="Federal",Worksheet!E92,Worksheet!E93)</f>
        <v>0.89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2" t="str">
        <f>IF(Worksheet!G3&lt;&gt;"",Worksheet!G3,"")</f>
        <v/>
      </c>
      <c r="G20" s="302"/>
      <c r="H20" s="307">
        <f>Request!R162-'F&amp;A Details'!H21</f>
        <v>0</v>
      </c>
      <c r="I20" s="307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8" t="str">
        <f>Worksheet!G3</f>
        <v/>
      </c>
      <c r="G21" s="298"/>
      <c r="H21" s="299">
        <f>SUM(Request!R136:R140)</f>
        <v>0</v>
      </c>
      <c r="I21" s="299"/>
      <c r="J21" s="140">
        <f>IF(Request!I135="Federal",Worksheet!E92,Worksheet!E93)</f>
        <v>0.89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300" t="s">
        <v>166</v>
      </c>
      <c r="C22" s="301"/>
      <c r="D22" s="301"/>
      <c r="E22" s="301"/>
      <c r="F22" s="301"/>
      <c r="G22" s="301"/>
      <c r="H22" s="301"/>
      <c r="I22" s="301"/>
      <c r="J22" s="301"/>
      <c r="K22" s="149">
        <f ca="1">SUM(K5:K21)</f>
        <v>4521</v>
      </c>
      <c r="L22" s="150"/>
      <c r="M22" s="144" t="b">
        <f ca="1"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2014-12-05T00:06:56Z</cp:lastPrinted>
  <dcterms:created xsi:type="dcterms:W3CDTF">2014-08-22T18:00:39Z</dcterms:created>
  <dcterms:modified xsi:type="dcterms:W3CDTF">2015-01-24T02:16:51Z</dcterms:modified>
</cp:coreProperties>
</file>