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FC90C2C5-2286-432B-89A6-F8C84AF89916}"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<sst xmlns="http://schemas.openxmlformats.org/spreadsheetml/2006/main" count="220" uniqueCount="143">
  <si>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</si>
  <si>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</si>
  <si>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</si>
  <si>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</si>
  <si>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</si>
  <si>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</si>
  <si>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</si>
  <si>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</si>
  <si>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</si>
  <si>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</si>
  <si>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</si>
  <si>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</si>
  <si>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</si>
  <si>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</si>
  <si>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</si>
  <si>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</si>
  <si>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</si>
  <si>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</si>
  <si>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</si>
  <si>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</si>
  <si>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</si>
  <si>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</si>
  <si>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</si>
  <si>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</si>
  <si>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</si>
  <si>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</si>
  <si>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</si>
  <si>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</si>
  <si>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</si>
  <si>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</si>
  <si>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</si>
  <si>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</si>
  <si>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</si>
  <si>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</si>
  <si>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</si>
  <si>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</si>
  <si>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</si>
  <si>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</si>
  <si>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</si>
  <si>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</si>
  <si>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</si>
  <si>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</si>
  <si>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</si>
  <si>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</si>
  <si>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</si>
  <si>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</si>
  <si>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</si>
  <si>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</si>
  <si>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</si>
  <si>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</si>
  <si>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</si>
  <si>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</si>
  <si>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</si>
  <si>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</si>
  <si>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</si>
  <si>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</si>
  <si>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</si>
  <si>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</si>
  <si>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</si>
  <si>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</si>
  <si>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</si>
  <si>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</si>
  <si>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</si>
  <si>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</si>
  <si>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</si>
  <si>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</si>
  <si>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</si>
  <si>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</si>
  <si>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</si>
  <si>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</si>
  <si>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</si>
  <si>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</si>
  <si>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</si>
  <si>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</si>
  <si>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</si>
  <si>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</si>
  <si>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</si>
  <si>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</si>
  <si>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</si>
  <si>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</si>
  <si>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</si>
  <si>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</si>
  <si>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</si>
  <si>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</si>
  <si>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</si>
  <si>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</si>
  <si>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</si>
  <si>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</si>
  <si>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</si>
  <si>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</si>
  <si>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</si>
  <si>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</si>
  <si>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</si>
  <si>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</si>
  <si>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</si>
  <si>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</si>
  <si>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</si>
  <si>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</si>
  <si>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</si>
  <si>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</si>
  <si>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</si>
  <si>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</si>
  <si>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</si>
  <si>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</si>
  <si>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</si>
  <si>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</si>
  <si>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</si>
  <si>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</si>
  <si>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</si>
  <si>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</si>
  <si>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</si>
  <si>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</si>
  <si>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</si>
  <si>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</si>
  <si>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</si>
  <si>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</si>
  <si>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</si>
  <si>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</si>
  <si>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</si>
  <si>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</si>
  <si>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</si>
  <si>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</si>
  <si>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</si>
  <si>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</si>
  <si>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</si>
  <si>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</si>
  <si>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</si>
  <si>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</si>
  <si>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</si>
  <si>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</si>
  <si>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</si>
  <si>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</si>
  <si>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</si>
  <si>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</si>
  <si>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</si>
  <si>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</si>
  <si>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</si>
  <si>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</si>
  <si>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</si>
  <si>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</si>
  <si>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</si>
  <si>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County General (linked)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</si>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</sst>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5" zoomScaleNormal="100" workbookViewId="0">
      <selection activeCell="B31" sqref="B31:D31"/>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64" t="s">
        <v>0</v>
      </c>
      <c r="B1" s="164"/>
      <c r="C1" s="164"/>
      <c r="D1" s="164"/>
      <c r="E1" s="164"/>
      <c r="F1" s="164"/>
      <c r="G1" s="164"/>
      <c r="H1" s="164"/>
      <c r="I1" s="164"/>
      <c r="J1" s="164"/>
      <c r="K1" s="164"/>
      <c r="L1" s="164"/>
      <c r="M1" s="164"/>
      <c r="N1" s="164"/>
      <c r="O1" s="164"/>
      <c r="P1" s="164"/>
      <c r="Q1" s="164"/>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165"/>
      <c r="B2" s="165"/>
      <c r="C2" s="165"/>
      <c r="D2" s="165"/>
      <c r="E2" s="165"/>
      <c r="F2" s="165"/>
      <c r="G2" s="165"/>
      <c r="H2" s="165"/>
      <c r="I2" s="165"/>
      <c r="J2" s="165"/>
      <c r="K2" s="165"/>
      <c r="L2" s="165"/>
      <c r="M2" s="165"/>
      <c r="N2" s="165"/>
      <c r="O2" s="165"/>
      <c r="P2" s="165"/>
      <c r="Q2" s="165"/>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6" t="s">
        <v>1</v>
      </c>
      <c r="B3" s="166"/>
      <c r="C3" s="166"/>
      <c r="D3" s="167" t="s">
        <v>141</v>
      </c>
      <c r="E3" s="168"/>
      <c r="F3" s="168"/>
      <c r="G3" s="169"/>
      <c r="H3" s="169"/>
      <c r="I3" s="3"/>
      <c r="J3" s="133">
        <v>2024</v>
      </c>
      <c r="K3" s="170" t="s">
        <v>2</v>
      </c>
      <c r="L3" s="171"/>
      <c r="M3" s="171"/>
      <c r="N3" s="51">
        <f>IF(J3&lt;&gt;"",(J3+1),"")</f>
        <v>2025</v>
      </c>
      <c r="O3" s="172" t="s">
        <v>3</v>
      </c>
      <c r="P3" s="17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283" t="s">
        <v>4</v>
      </c>
      <c r="B4" s="283"/>
      <c r="C4" s="283"/>
      <c r="D4" s="283"/>
      <c r="E4" s="283"/>
      <c r="F4" s="283"/>
      <c r="G4" s="283"/>
      <c r="H4" s="283"/>
      <c r="I4" s="283"/>
      <c r="J4" s="283"/>
      <c r="K4" s="283"/>
      <c r="L4" s="283"/>
      <c r="M4" s="283"/>
      <c r="N4" s="283"/>
      <c r="O4" s="283"/>
      <c r="P4" s="28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7" t="s">
        <v>6</v>
      </c>
      <c r="C5" s="187"/>
      <c r="D5" s="187"/>
      <c r="E5" s="187"/>
      <c r="F5" s="187"/>
      <c r="G5" s="187"/>
      <c r="H5" s="187"/>
      <c r="I5" s="187"/>
      <c r="J5" s="187"/>
      <c r="K5" s="187"/>
      <c r="L5" s="187"/>
      <c r="M5" s="187"/>
      <c r="N5" s="187"/>
      <c r="O5" s="187"/>
      <c r="P5" s="187"/>
      <c r="Q5" s="188"/>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89">
        <v>29064540.859999999</v>
      </c>
      <c r="F7" s="189"/>
      <c r="G7" s="114" t="s">
        <v>8</v>
      </c>
      <c r="H7" s="190">
        <v>1.01</v>
      </c>
      <c r="I7" s="191"/>
      <c r="J7" s="191"/>
      <c r="K7" s="137"/>
      <c r="L7" s="181" t="s">
        <v>9</v>
      </c>
      <c r="M7" s="192"/>
      <c r="N7" s="183">
        <f>(E7*H7)</f>
        <v>29355186.27</v>
      </c>
      <c r="O7" s="183"/>
      <c r="P7" s="18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3" t="s">
        <v>10</v>
      </c>
      <c r="F8" s="194"/>
      <c r="G8" s="116"/>
      <c r="H8" s="195" t="s">
        <v>11</v>
      </c>
      <c r="I8" s="195"/>
      <c r="J8" s="195"/>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75" t="s">
        <v>13</v>
      </c>
      <c r="C9" s="175"/>
      <c r="D9" s="175"/>
      <c r="E9" s="175"/>
      <c r="F9" s="175"/>
      <c r="G9" s="175"/>
      <c r="H9" s="175"/>
      <c r="I9" s="175"/>
      <c r="J9" s="175"/>
      <c r="K9" s="175"/>
      <c r="L9" s="175"/>
      <c r="M9" s="175"/>
      <c r="N9" s="175"/>
      <c r="O9" s="175"/>
      <c r="P9" s="175"/>
      <c r="Q9" s="177"/>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8">
        <v>699975450</v>
      </c>
      <c r="C10" s="178"/>
      <c r="D10" s="178"/>
      <c r="E10" s="114" t="s">
        <v>8</v>
      </c>
      <c r="F10" s="179">
        <v>0.813554955355</v>
      </c>
      <c r="G10" s="180"/>
      <c r="H10" s="180"/>
      <c r="I10" s="114" t="s">
        <v>14</v>
      </c>
      <c r="J10" s="19">
        <v>1000</v>
      </c>
      <c r="K10" s="20"/>
      <c r="L10" s="181" t="s">
        <v>9</v>
      </c>
      <c r="M10" s="182"/>
      <c r="N10" s="183">
        <f>(B10*F10/1000)</f>
        <v>569468.5</v>
      </c>
      <c r="O10" s="183"/>
      <c r="P10" s="18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84" t="s">
        <v>15</v>
      </c>
      <c r="C11" s="184"/>
      <c r="D11" s="184"/>
      <c r="E11" s="121"/>
      <c r="F11" s="185" t="s">
        <v>16</v>
      </c>
      <c r="G11" s="186"/>
      <c r="H11" s="186"/>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6" t="s">
        <v>18</v>
      </c>
      <c r="C12" s="207"/>
      <c r="D12" s="207"/>
      <c r="E12" s="207"/>
      <c r="F12" s="207"/>
      <c r="G12" s="207"/>
      <c r="H12" s="207"/>
      <c r="I12" s="207"/>
      <c r="J12" s="207"/>
      <c r="K12" s="207"/>
      <c r="L12" s="207"/>
      <c r="M12" s="207"/>
      <c r="N12" s="207"/>
      <c r="O12" s="207"/>
      <c r="P12" s="207"/>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12"/>
      <c r="C13" s="212"/>
      <c r="D13" s="212"/>
      <c r="E13" s="132" t="s">
        <v>8</v>
      </c>
      <c r="F13" s="208">
        <f>F10</f>
        <v>0.813554955355</v>
      </c>
      <c r="G13" s="209"/>
      <c r="H13" s="209"/>
      <c r="I13" s="132" t="s">
        <v>14</v>
      </c>
      <c r="J13" s="101">
        <v>1000</v>
      </c>
      <c r="K13" s="116"/>
      <c r="L13" s="181" t="s">
        <v>9</v>
      </c>
      <c r="M13" s="210"/>
      <c r="N13" s="211">
        <f>(B13*F13/1000)</f>
        <v>0</v>
      </c>
      <c r="O13" s="211"/>
      <c r="P13" s="211"/>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186"/>
      <c r="H14" s="186"/>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75" t="s">
        <v>20</v>
      </c>
      <c r="C15" s="199"/>
      <c r="D15" s="199"/>
      <c r="E15" s="199"/>
      <c r="F15" s="199"/>
      <c r="G15" s="199"/>
      <c r="H15" s="199"/>
      <c r="I15" s="199"/>
      <c r="J15" s="199"/>
      <c r="K15" s="199"/>
      <c r="L15" s="199"/>
      <c r="M15" s="199"/>
      <c r="N15" s="199"/>
      <c r="O15" s="199"/>
      <c r="P15" s="199"/>
      <c r="Q15" s="200"/>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8">
        <v>541139375</v>
      </c>
      <c r="C17" s="178"/>
      <c r="D17" s="178"/>
      <c r="E17" s="114" t="s">
        <v>21</v>
      </c>
      <c r="F17" s="178">
        <v>506086618</v>
      </c>
      <c r="G17" s="201"/>
      <c r="H17" s="201"/>
      <c r="I17" s="28" t="s">
        <v>9</v>
      </c>
      <c r="J17" s="202">
        <f>IF(B17&lt;0,"0",(B17-F17))</f>
        <v>35052757</v>
      </c>
      <c r="K17" s="203"/>
      <c r="L17" s="203"/>
      <c r="M17" s="203"/>
      <c r="N17" s="204"/>
      <c r="O17" s="204"/>
      <c r="P17" s="204"/>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84" t="s">
        <v>22</v>
      </c>
      <c r="C18" s="184"/>
      <c r="D18" s="184"/>
      <c r="E18" s="22"/>
      <c r="F18" s="184" t="s">
        <v>23</v>
      </c>
      <c r="G18" s="184"/>
      <c r="H18" s="184"/>
      <c r="I18" s="121"/>
      <c r="J18" s="185" t="s">
        <v>24</v>
      </c>
      <c r="K18" s="185"/>
      <c r="L18" s="205"/>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6">
        <f>IF(B17-F17&lt;0,"0",(B17-F17))</f>
        <v>35052757</v>
      </c>
      <c r="C19" s="196"/>
      <c r="D19" s="196"/>
      <c r="E19" s="114" t="s">
        <v>8</v>
      </c>
      <c r="F19" s="197">
        <f>F10</f>
        <v>0.813554955355</v>
      </c>
      <c r="G19" s="198"/>
      <c r="H19" s="198"/>
      <c r="I19" s="114" t="s">
        <v>14</v>
      </c>
      <c r="J19" s="19">
        <v>1000</v>
      </c>
      <c r="K19" s="20"/>
      <c r="L19" s="181" t="s">
        <v>9</v>
      </c>
      <c r="M19" s="192"/>
      <c r="N19" s="183">
        <f>IF(B17-F17&lt;0,"0",(B19*F19/J19))</f>
        <v>28517.34</v>
      </c>
      <c r="O19" s="183"/>
      <c r="P19" s="18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84" t="s">
        <v>25</v>
      </c>
      <c r="C20" s="184"/>
      <c r="D20" s="184"/>
      <c r="E20" s="22"/>
      <c r="F20" s="185" t="s">
        <v>16</v>
      </c>
      <c r="G20" s="192"/>
      <c r="H20" s="192"/>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6" t="s">
        <v>27</v>
      </c>
      <c r="C21" s="206"/>
      <c r="D21" s="206"/>
      <c r="E21" s="206"/>
      <c r="F21" s="206"/>
      <c r="G21" s="206"/>
      <c r="H21" s="206"/>
      <c r="I21" s="206"/>
      <c r="J21" s="105" t="s">
        <v>28</v>
      </c>
      <c r="K21" s="29"/>
      <c r="L21" s="181" t="s">
        <v>9</v>
      </c>
      <c r="M21" s="192"/>
      <c r="N21" s="183">
        <f>IF(N17&lt;0,(N7+N10),(N7+N10+N13+N19))</f>
        <v>29953172.109999999</v>
      </c>
      <c r="O21" s="183"/>
      <c r="P21" s="18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13" t="s">
        <v>29</v>
      </c>
      <c r="B24" s="187"/>
      <c r="C24" s="187"/>
      <c r="D24" s="187"/>
      <c r="E24" s="187"/>
      <c r="F24" s="187"/>
      <c r="G24" s="187"/>
      <c r="H24" s="187"/>
      <c r="I24" s="187"/>
      <c r="J24" s="187"/>
      <c r="K24" s="187"/>
      <c r="L24" s="187"/>
      <c r="M24" s="187"/>
      <c r="N24" s="187"/>
      <c r="O24" s="187"/>
      <c r="P24" s="187"/>
      <c r="Q24" s="188"/>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75" t="s">
        <v>31</v>
      </c>
      <c r="C26" s="175"/>
      <c r="D26" s="175"/>
      <c r="E26" s="175"/>
      <c r="F26" s="175"/>
      <c r="G26" s="175"/>
      <c r="H26" s="175"/>
      <c r="I26" s="175"/>
      <c r="J26" s="175"/>
      <c r="K26" s="175"/>
      <c r="L26" s="175"/>
      <c r="M26" s="175"/>
      <c r="N26" s="175"/>
      <c r="O26" s="175"/>
      <c r="P26" s="175"/>
      <c r="Q26" s="177"/>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83">
        <f>SUM(N21)</f>
        <v>29953172.109999999</v>
      </c>
      <c r="C28" s="183"/>
      <c r="D28" s="183"/>
      <c r="E28" s="114" t="s">
        <v>14</v>
      </c>
      <c r="F28" s="214">
        <v>36331753518</v>
      </c>
      <c r="G28" s="215"/>
      <c r="H28" s="215"/>
      <c r="I28" s="114" t="s">
        <v>8</v>
      </c>
      <c r="J28" s="19">
        <v>1000</v>
      </c>
      <c r="K28" s="20"/>
      <c r="L28" s="181" t="s">
        <v>9</v>
      </c>
      <c r="M28" s="192"/>
      <c r="N28" s="216">
        <f>(B28/F28*1000)</f>
        <v>0.82443507977599995</v>
      </c>
      <c r="O28" s="216"/>
      <c r="P28" s="216"/>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84" t="s">
        <v>32</v>
      </c>
      <c r="C29" s="184"/>
      <c r="D29" s="184"/>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75" t="s">
        <v>35</v>
      </c>
      <c r="C30" s="175"/>
      <c r="D30" s="175"/>
      <c r="E30" s="175"/>
      <c r="F30" s="175"/>
      <c r="G30" s="175"/>
      <c r="H30" s="175"/>
      <c r="I30" s="175"/>
      <c r="J30" s="175"/>
      <c r="K30" s="175"/>
      <c r="L30" s="175"/>
      <c r="M30" s="175"/>
      <c r="N30" s="175"/>
      <c r="O30" s="175"/>
      <c r="P30" s="175"/>
      <c r="Q30" s="177"/>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8"/>
      <c r="C31" s="178"/>
      <c r="D31" s="178"/>
      <c r="E31" s="114" t="s">
        <v>8</v>
      </c>
      <c r="F31" s="216">
        <f>SUM(N28)</f>
        <v>0.82443507977599995</v>
      </c>
      <c r="G31" s="198"/>
      <c r="H31" s="198"/>
      <c r="I31" s="114" t="s">
        <v>14</v>
      </c>
      <c r="J31" s="19">
        <v>1000</v>
      </c>
      <c r="K31" s="20"/>
      <c r="L31" s="181" t="s">
        <v>9</v>
      </c>
      <c r="M31" s="192"/>
      <c r="N31" s="183" t="str">
        <f>IF(ISBLANK(B31),"0",(B31*F31/1000))</f>
        <v>0</v>
      </c>
      <c r="O31" s="183"/>
      <c r="P31" s="18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84" t="s">
        <v>36</v>
      </c>
      <c r="C32" s="184"/>
      <c r="D32" s="184"/>
      <c r="E32" s="22"/>
      <c r="F32" s="185" t="s">
        <v>37</v>
      </c>
      <c r="G32" s="205"/>
      <c r="H32" s="205"/>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6" t="s">
        <v>39</v>
      </c>
      <c r="C33" s="217"/>
      <c r="D33" s="217"/>
      <c r="E33" s="217"/>
      <c r="F33" s="217"/>
      <c r="G33" s="217"/>
      <c r="H33" s="217"/>
      <c r="I33" s="217"/>
      <c r="J33" s="218"/>
      <c r="K33" s="106" t="s">
        <v>40</v>
      </c>
      <c r="L33" s="181" t="s">
        <v>9</v>
      </c>
      <c r="M33" s="192"/>
      <c r="N33" s="183">
        <f>IF(F28&lt;0,(N21),(N21+N31))</f>
        <v>29953172.109999999</v>
      </c>
      <c r="O33" s="183"/>
      <c r="P33" s="18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9" t="s">
        <v>42</v>
      </c>
      <c r="C36" s="219"/>
      <c r="D36" s="219"/>
      <c r="E36" s="219"/>
      <c r="F36" s="219"/>
      <c r="G36" s="219"/>
      <c r="H36" s="219"/>
      <c r="I36" s="219"/>
      <c r="J36" s="219"/>
      <c r="K36" s="219"/>
      <c r="L36" s="219"/>
      <c r="M36" s="219"/>
      <c r="N36" s="220"/>
      <c r="O36" s="220"/>
      <c r="P36" s="220"/>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21">
        <v>1.8</v>
      </c>
      <c r="C38" s="221"/>
      <c r="D38" s="114" t="s">
        <v>21</v>
      </c>
      <c r="E38" s="221"/>
      <c r="F38" s="221"/>
      <c r="G38" s="114" t="s">
        <v>21</v>
      </c>
      <c r="H38" s="221"/>
      <c r="I38" s="221"/>
      <c r="J38" s="114" t="s">
        <v>44</v>
      </c>
      <c r="K38" s="222"/>
      <c r="L38" s="222"/>
      <c r="M38" s="40" t="s">
        <v>45</v>
      </c>
      <c r="N38" s="153">
        <f>B38-E38-H38+K38</f>
        <v>1.8</v>
      </c>
      <c r="O38" s="155"/>
      <c r="P38" s="15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184" t="s">
        <v>47</v>
      </c>
      <c r="F39" s="184"/>
      <c r="G39" s="117"/>
      <c r="H39" s="184" t="s">
        <v>48</v>
      </c>
      <c r="I39" s="184"/>
      <c r="J39" s="185" t="s">
        <v>49</v>
      </c>
      <c r="K39" s="185"/>
      <c r="L39" s="185"/>
      <c r="M39" s="185"/>
      <c r="N39" s="223" t="s">
        <v>50</v>
      </c>
      <c r="O39" s="223"/>
      <c r="P39" s="22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6">
        <f>F28+B31</f>
        <v>36331753518</v>
      </c>
      <c r="C40" s="196"/>
      <c r="D40" s="196"/>
      <c r="E40" s="28" t="s">
        <v>8</v>
      </c>
      <c r="F40" s="216">
        <f>N38</f>
        <v>1.8</v>
      </c>
      <c r="G40" s="198"/>
      <c r="H40" s="198"/>
      <c r="I40" s="114" t="s">
        <v>14</v>
      </c>
      <c r="J40" s="19">
        <v>1000</v>
      </c>
      <c r="K40" s="20"/>
      <c r="L40" s="181" t="s">
        <v>9</v>
      </c>
      <c r="M40" s="192"/>
      <c r="N40" s="183">
        <f>(B40*F40/1000)</f>
        <v>65397156.329999998</v>
      </c>
      <c r="O40" s="183"/>
      <c r="P40" s="18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9" t="s">
        <v>51</v>
      </c>
      <c r="C41" s="229"/>
      <c r="D41" s="229"/>
      <c r="E41" s="42"/>
      <c r="F41" s="151" t="s">
        <v>50</v>
      </c>
      <c r="G41" s="230"/>
      <c r="H41" s="230"/>
      <c r="I41" s="42"/>
      <c r="J41" s="42"/>
      <c r="K41" s="42"/>
      <c r="L41" s="42"/>
      <c r="M41" s="42"/>
      <c r="N41" s="229" t="s">
        <v>52</v>
      </c>
      <c r="O41" s="229"/>
      <c r="P41" s="229"/>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224"/>
      <c r="C43" s="224"/>
      <c r="D43" s="224"/>
      <c r="E43" s="224"/>
      <c r="F43" s="224"/>
      <c r="G43" s="224"/>
      <c r="H43" s="224"/>
      <c r="I43" s="224"/>
      <c r="J43" s="224"/>
      <c r="K43" s="224"/>
      <c r="L43" s="224"/>
      <c r="M43" s="224"/>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9" t="s">
        <v>54</v>
      </c>
      <c r="C44" s="225"/>
      <c r="D44" s="225"/>
      <c r="E44" s="225"/>
      <c r="F44" s="225"/>
      <c r="G44" s="225"/>
      <c r="H44" s="225"/>
      <c r="I44" s="225"/>
      <c r="J44" s="225"/>
      <c r="K44" s="141"/>
      <c r="L44" s="226" t="s">
        <v>9</v>
      </c>
      <c r="M44" s="227"/>
      <c r="N44" s="228">
        <f>MIN(N33,N40)</f>
        <v>29953172.109999999</v>
      </c>
      <c r="O44" s="228"/>
      <c r="P44" s="228"/>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75" t="s">
        <v>56</v>
      </c>
      <c r="C46" s="175"/>
      <c r="D46" s="175"/>
      <c r="E46" s="175"/>
      <c r="F46" s="175"/>
      <c r="G46" s="175"/>
      <c r="H46" s="175"/>
      <c r="I46" s="175"/>
      <c r="J46" s="175"/>
      <c r="K46" s="175"/>
      <c r="L46" s="181" t="s">
        <v>9</v>
      </c>
      <c r="M46" s="192"/>
      <c r="N46" s="154">
        <f>MAX(MIN(N40,(N33-N13)),E7)</f>
        <v>29953172.109999999</v>
      </c>
      <c r="O46" s="155"/>
      <c r="P46" s="15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1"/>
      <c r="C47" s="231"/>
      <c r="D47" s="231"/>
      <c r="E47" s="231"/>
      <c r="F47" s="231"/>
      <c r="G47" s="231"/>
      <c r="H47" s="231"/>
      <c r="I47" s="231"/>
      <c r="J47" s="231"/>
      <c r="K47" s="231"/>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219" t="s">
        <v>58</v>
      </c>
      <c r="C49" s="219"/>
      <c r="D49" s="219"/>
      <c r="E49" s="219"/>
      <c r="F49" s="219"/>
      <c r="G49" s="219"/>
      <c r="H49" s="219"/>
      <c r="I49" s="219"/>
      <c r="J49" s="219"/>
      <c r="K49" s="219"/>
      <c r="L49" s="219"/>
      <c r="M49" s="219"/>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6" t="s">
        <v>59</v>
      </c>
      <c r="C50" s="206"/>
      <c r="D50" s="206"/>
      <c r="E50" s="206"/>
      <c r="F50" s="206"/>
      <c r="G50" s="206"/>
      <c r="H50" s="206"/>
      <c r="I50" s="206"/>
      <c r="J50" s="206"/>
      <c r="K50" s="206"/>
      <c r="L50" s="206"/>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6" t="s">
        <v>60</v>
      </c>
      <c r="C51" s="206"/>
      <c r="D51" s="206"/>
      <c r="E51" s="206"/>
      <c r="F51" s="206"/>
      <c r="G51" s="206"/>
      <c r="H51" s="206"/>
      <c r="I51" s="206"/>
      <c r="J51" s="206"/>
      <c r="K51" s="206"/>
      <c r="L51" s="206"/>
      <c r="M51" s="117"/>
      <c r="N51" s="232">
        <f>B40</f>
        <v>36331753518</v>
      </c>
      <c r="O51" s="232"/>
      <c r="P51" s="232"/>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6" t="s">
        <v>61</v>
      </c>
      <c r="C52" s="206"/>
      <c r="D52" s="206"/>
      <c r="E52" s="206"/>
      <c r="F52" s="206"/>
      <c r="G52" s="206"/>
      <c r="H52" s="206"/>
      <c r="I52" s="206"/>
      <c r="J52" s="206"/>
      <c r="K52" s="206"/>
      <c r="L52" s="206"/>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6" t="s">
        <v>62</v>
      </c>
      <c r="C53" s="206"/>
      <c r="D53" s="206"/>
      <c r="E53" s="206"/>
      <c r="F53" s="206"/>
      <c r="G53" s="206"/>
      <c r="H53" s="206"/>
      <c r="I53" s="206"/>
      <c r="J53" s="206"/>
      <c r="K53" s="206"/>
      <c r="L53" s="206"/>
      <c r="M53" s="117"/>
      <c r="N53" s="214"/>
      <c r="O53" s="214"/>
      <c r="P53" s="214"/>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6" t="s">
        <v>63</v>
      </c>
      <c r="C54" s="206"/>
      <c r="D54" s="206"/>
      <c r="E54" s="206"/>
      <c r="F54" s="206"/>
      <c r="G54" s="206"/>
      <c r="H54" s="206"/>
      <c r="I54" s="206"/>
      <c r="J54" s="206"/>
      <c r="K54" s="117"/>
      <c r="L54" s="117"/>
      <c r="M54" s="117"/>
      <c r="N54" s="178"/>
      <c r="O54" s="178"/>
      <c r="P54" s="17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6" t="s">
        <v>64</v>
      </c>
      <c r="C55" s="206"/>
      <c r="D55" s="206"/>
      <c r="E55" s="206"/>
      <c r="F55" s="206"/>
      <c r="G55" s="206"/>
      <c r="H55" s="206"/>
      <c r="I55" s="206"/>
      <c r="J55" s="206"/>
      <c r="K55" s="206" t="s">
        <v>65</v>
      </c>
      <c r="L55" s="206"/>
      <c r="M55" s="117"/>
      <c r="N55" s="232">
        <f>(N51-N53+N54)</f>
        <v>36331753518</v>
      </c>
      <c r="O55" s="232"/>
      <c r="P55" s="232"/>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33"/>
      <c r="C59" s="233"/>
      <c r="D59" s="233"/>
      <c r="E59" s="114" t="s">
        <v>14</v>
      </c>
      <c r="F59" s="232">
        <f>SUM(N55)</f>
        <v>36331753518</v>
      </c>
      <c r="G59" s="232"/>
      <c r="H59" s="232"/>
      <c r="I59" s="28" t="s">
        <v>8</v>
      </c>
      <c r="J59" s="19">
        <v>1000</v>
      </c>
      <c r="K59" s="20"/>
      <c r="L59" s="181" t="s">
        <v>9</v>
      </c>
      <c r="M59" s="234"/>
      <c r="N59" s="216">
        <f>(B59/F59*1000)</f>
        <v>0</v>
      </c>
      <c r="O59" s="216"/>
      <c r="P59" s="216"/>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184" t="s">
        <v>68</v>
      </c>
      <c r="G60" s="184"/>
      <c r="H60" s="184"/>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33"/>
      <c r="C63" s="233"/>
      <c r="D63" s="233"/>
      <c r="E63" s="114" t="s">
        <v>70</v>
      </c>
      <c r="F63" s="232">
        <f>SUM(N55)</f>
        <v>36331753518</v>
      </c>
      <c r="G63" s="232"/>
      <c r="H63" s="232"/>
      <c r="I63" s="28" t="s">
        <v>8</v>
      </c>
      <c r="J63" s="19">
        <v>1000</v>
      </c>
      <c r="K63" s="20"/>
      <c r="L63" s="181" t="s">
        <v>9</v>
      </c>
      <c r="M63" s="234"/>
      <c r="N63" s="216">
        <f>(B63/F63*1000)</f>
        <v>0</v>
      </c>
      <c r="O63" s="216"/>
      <c r="P63" s="216"/>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51" t="s">
        <v>67</v>
      </c>
      <c r="C64" s="151"/>
      <c r="D64" s="151"/>
      <c r="E64" s="115"/>
      <c r="F64" s="229" t="s">
        <v>68</v>
      </c>
      <c r="G64" s="229"/>
      <c r="H64" s="229"/>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82" t="s">
        <v>71</v>
      </c>
      <c r="C65" s="28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45"/>
      <c r="B66" s="245"/>
      <c r="C66" s="245"/>
      <c r="D66" s="245"/>
      <c r="E66" s="245"/>
      <c r="F66" s="245"/>
      <c r="G66" s="245"/>
      <c r="H66" s="245"/>
      <c r="I66" s="245"/>
      <c r="J66" s="245"/>
      <c r="K66" s="245"/>
      <c r="L66" s="245"/>
      <c r="M66" s="245"/>
      <c r="N66" s="245"/>
      <c r="O66" s="245"/>
      <c r="P66" s="245"/>
      <c r="Q66" s="245"/>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6" t="s">
        <v>1</v>
      </c>
      <c r="B67" s="166"/>
      <c r="C67" s="166"/>
      <c r="D67" s="246" t="str">
        <f>(D3)</f>
        <v>County General (linked)</v>
      </c>
      <c r="E67" s="246"/>
      <c r="F67" s="246"/>
      <c r="G67" s="247"/>
      <c r="H67" s="247"/>
      <c r="I67" s="3"/>
      <c r="J67" s="51">
        <f>(J3)</f>
        <v>2024</v>
      </c>
      <c r="K67" s="248" t="s">
        <v>73</v>
      </c>
      <c r="L67" s="171"/>
      <c r="M67" s="171"/>
      <c r="N67" s="52">
        <f>(N3)</f>
        <v>2025</v>
      </c>
      <c r="O67" s="249" t="s">
        <v>3</v>
      </c>
      <c r="P67" s="17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50"/>
      <c r="B68" s="250"/>
      <c r="C68" s="250"/>
      <c r="D68" s="250"/>
      <c r="E68" s="250"/>
      <c r="F68" s="250"/>
      <c r="G68" s="250"/>
      <c r="H68" s="250"/>
      <c r="I68" s="250"/>
      <c r="J68" s="250"/>
      <c r="K68" s="250"/>
      <c r="L68" s="250"/>
      <c r="M68" s="250"/>
      <c r="N68" s="250"/>
      <c r="O68" s="250"/>
      <c r="P68" s="250"/>
      <c r="Q68" s="250"/>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35" t="s">
        <v>74</v>
      </c>
      <c r="B69" s="236"/>
      <c r="C69" s="236"/>
      <c r="D69" s="237" t="s">
        <v>75</v>
      </c>
      <c r="E69" s="238"/>
      <c r="F69" s="238"/>
      <c r="G69" s="238"/>
      <c r="H69" s="239"/>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74" t="s">
        <v>76</v>
      </c>
      <c r="B71" s="175"/>
      <c r="C71" s="175"/>
      <c r="D71" s="175"/>
      <c r="E71" s="175"/>
      <c r="F71" s="175"/>
      <c r="G71" s="175"/>
      <c r="H71" s="175"/>
      <c r="I71" s="175"/>
      <c r="J71" s="175"/>
      <c r="K71" s="175"/>
      <c r="L71" s="176" t="s">
        <v>77</v>
      </c>
      <c r="M71" s="176"/>
      <c r="N71" s="176"/>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40"/>
      <c r="B72" s="241"/>
      <c r="C72" s="241"/>
      <c r="D72" s="241"/>
      <c r="E72" s="241"/>
      <c r="F72" s="241"/>
      <c r="G72" s="241"/>
      <c r="H72" s="241"/>
      <c r="I72" s="241"/>
      <c r="J72" s="241"/>
      <c r="K72" s="241"/>
      <c r="L72" s="241"/>
      <c r="M72" s="241"/>
      <c r="N72" s="241"/>
      <c r="O72" s="241"/>
      <c r="P72" s="241"/>
      <c r="Q72" s="242"/>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74" t="s">
        <v>78</v>
      </c>
      <c r="B73" s="192"/>
      <c r="C73" s="192"/>
      <c r="D73" s="192"/>
      <c r="E73" s="192"/>
      <c r="F73" s="192"/>
      <c r="G73" s="192"/>
      <c r="H73" s="192"/>
      <c r="I73" s="192"/>
      <c r="J73" s="192"/>
      <c r="K73" s="192"/>
      <c r="L73" s="261" t="s">
        <v>79</v>
      </c>
      <c r="M73" s="261"/>
      <c r="N73" s="261"/>
      <c r="O73" s="261"/>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7" t="s">
        <v>80</v>
      </c>
      <c r="B75" s="258"/>
      <c r="C75" s="258"/>
      <c r="D75" s="258"/>
      <c r="E75" s="258"/>
      <c r="F75" s="262"/>
      <c r="G75" s="262"/>
      <c r="H75" s="262"/>
      <c r="I75" s="138"/>
      <c r="J75" s="210" t="s">
        <v>81</v>
      </c>
      <c r="K75" s="210"/>
      <c r="L75" s="210"/>
      <c r="M75" s="210"/>
      <c r="N75" s="243">
        <f>H79/E79</f>
        <v>0</v>
      </c>
      <c r="O75" s="244"/>
      <c r="P75" s="244"/>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7" t="s">
        <v>82</v>
      </c>
      <c r="C78" s="187"/>
      <c r="D78" s="187"/>
      <c r="E78" s="187"/>
      <c r="F78" s="187"/>
      <c r="G78" s="187"/>
      <c r="H78" s="187"/>
      <c r="I78" s="187"/>
      <c r="J78" s="187"/>
      <c r="K78" s="187"/>
      <c r="L78" s="187"/>
      <c r="M78" s="187"/>
      <c r="N78" s="187"/>
      <c r="O78" s="187"/>
      <c r="P78" s="187"/>
      <c r="Q78" s="188"/>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2023</v>
      </c>
      <c r="D79" s="124"/>
      <c r="E79" s="233">
        <v>27904907.800000001</v>
      </c>
      <c r="F79" s="233"/>
      <c r="G79" s="114" t="s">
        <v>44</v>
      </c>
      <c r="H79" s="259">
        <v>0</v>
      </c>
      <c r="I79" s="259"/>
      <c r="J79" s="259"/>
      <c r="K79" s="260"/>
      <c r="L79" s="181" t="s">
        <v>9</v>
      </c>
      <c r="M79" s="192"/>
      <c r="N79" s="256">
        <f>E79+H79</f>
        <v>27904907.800000001</v>
      </c>
      <c r="O79" s="256"/>
      <c r="P79" s="25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3" t="s">
        <v>83</v>
      </c>
      <c r="F80" s="193"/>
      <c r="G80" s="116"/>
      <c r="H80" s="251" t="s">
        <v>84</v>
      </c>
      <c r="I80" s="251"/>
      <c r="J80" s="251"/>
      <c r="K80" s="252"/>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2023</v>
      </c>
      <c r="D81" s="124"/>
      <c r="E81" s="253">
        <f>E79</f>
        <v>27904907.800000001</v>
      </c>
      <c r="F81" s="253"/>
      <c r="G81" s="114" t="s">
        <v>8</v>
      </c>
      <c r="H81" s="254">
        <v>0</v>
      </c>
      <c r="I81" s="254"/>
      <c r="J81" s="254"/>
      <c r="K81" s="255"/>
      <c r="L81" s="181" t="s">
        <v>9</v>
      </c>
      <c r="M81" s="192"/>
      <c r="N81" s="256">
        <f>E81*(100%+H81)</f>
        <v>27904907.800000001</v>
      </c>
      <c r="O81" s="256"/>
      <c r="P81" s="25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3" t="s">
        <v>83</v>
      </c>
      <c r="F82" s="193"/>
      <c r="G82" s="116"/>
      <c r="H82" s="251" t="s">
        <v>85</v>
      </c>
      <c r="I82" s="251"/>
      <c r="J82" s="251"/>
      <c r="K82" s="252"/>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6" t="s">
        <v>87</v>
      </c>
      <c r="C83" s="206"/>
      <c r="D83" s="206"/>
      <c r="E83" s="206"/>
      <c r="F83" s="206"/>
      <c r="G83" s="206"/>
      <c r="H83" s="206"/>
      <c r="I83" s="206"/>
      <c r="J83" s="206"/>
      <c r="K83" s="206"/>
      <c r="L83" s="181" t="s">
        <v>9</v>
      </c>
      <c r="M83" s="192"/>
      <c r="N83" s="263">
        <f>N10</f>
        <v>569468.5</v>
      </c>
      <c r="O83" s="264"/>
      <c r="P83" s="264"/>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6" t="s">
        <v>88</v>
      </c>
      <c r="C84" s="206"/>
      <c r="D84" s="206"/>
      <c r="E84" s="206"/>
      <c r="F84" s="206"/>
      <c r="G84" s="206"/>
      <c r="H84" s="206"/>
      <c r="I84" s="206"/>
      <c r="J84" s="206"/>
      <c r="K84" s="117"/>
      <c r="L84" s="181" t="s">
        <v>9</v>
      </c>
      <c r="M84" s="192"/>
      <c r="N84" s="256">
        <f>N13</f>
        <v>0</v>
      </c>
      <c r="O84" s="256"/>
      <c r="P84" s="25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6" t="s">
        <v>90</v>
      </c>
      <c r="C86" s="206"/>
      <c r="D86" s="206"/>
      <c r="E86" s="206"/>
      <c r="F86" s="206"/>
      <c r="G86" s="206"/>
      <c r="H86" s="206"/>
      <c r="I86" s="206"/>
      <c r="J86" s="206"/>
      <c r="K86" s="117"/>
      <c r="L86" s="181" t="s">
        <v>9</v>
      </c>
      <c r="M86" s="192"/>
      <c r="N86" s="256">
        <f>(N19)</f>
        <v>28517.34</v>
      </c>
      <c r="O86" s="256"/>
      <c r="P86" s="25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6" t="s">
        <v>91</v>
      </c>
      <c r="C88" s="206"/>
      <c r="D88" s="206"/>
      <c r="E88" s="206"/>
      <c r="F88" s="206"/>
      <c r="G88" s="206"/>
      <c r="H88" s="206"/>
      <c r="I88" s="206"/>
      <c r="J88" s="116"/>
      <c r="K88" s="116"/>
      <c r="L88" s="181" t="s">
        <v>9</v>
      </c>
      <c r="M88" s="192"/>
      <c r="N88" s="256" t="str">
        <f>(N31)</f>
        <v>0</v>
      </c>
      <c r="O88" s="256"/>
      <c r="P88" s="25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8" t="s">
        <v>93</v>
      </c>
      <c r="C90" s="268"/>
      <c r="D90" s="268"/>
      <c r="E90" s="268"/>
      <c r="F90" s="268"/>
      <c r="G90" s="268"/>
      <c r="H90" s="268"/>
      <c r="I90" s="269" t="s">
        <v>94</v>
      </c>
      <c r="J90" s="269"/>
      <c r="K90" s="269"/>
      <c r="L90" s="181" t="s">
        <v>9</v>
      </c>
      <c r="M90" s="192"/>
      <c r="N90" s="256">
        <f>(MIN(N79:N81)+N83+N84+N86+N88)</f>
        <v>28502893.640000001</v>
      </c>
      <c r="O90" s="256"/>
      <c r="P90" s="25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65" t="s">
        <v>95</v>
      </c>
      <c r="C93" s="265"/>
      <c r="D93" s="265"/>
      <c r="E93" s="265"/>
      <c r="F93" s="265"/>
      <c r="G93" s="265"/>
      <c r="H93" s="265"/>
      <c r="I93" s="265"/>
      <c r="J93" s="265"/>
      <c r="K93" s="265"/>
      <c r="L93" s="265"/>
      <c r="M93" s="265"/>
      <c r="N93" s="266"/>
      <c r="O93" s="266"/>
      <c r="P93" s="266"/>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53">
        <f>N90</f>
        <v>28502893.640000001</v>
      </c>
      <c r="C95" s="253"/>
      <c r="D95" s="253"/>
      <c r="E95" s="114" t="s">
        <v>44</v>
      </c>
      <c r="F95" s="189">
        <v>18715.259999999998</v>
      </c>
      <c r="G95" s="267"/>
      <c r="H95" s="267"/>
      <c r="I95" s="114"/>
      <c r="J95" s="20"/>
      <c r="K95" s="20"/>
      <c r="L95" s="181" t="s">
        <v>9</v>
      </c>
      <c r="M95" s="192"/>
      <c r="N95" s="183">
        <f>(B95+F95)</f>
        <v>28521608.899999999</v>
      </c>
      <c r="O95" s="183"/>
      <c r="P95" s="18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9" t="s">
        <v>96</v>
      </c>
      <c r="C96" s="229"/>
      <c r="D96" s="229"/>
      <c r="E96" s="42"/>
      <c r="F96" s="151" t="s">
        <v>97</v>
      </c>
      <c r="G96" s="230"/>
      <c r="H96" s="230"/>
      <c r="I96" s="42"/>
      <c r="J96" s="42"/>
      <c r="K96" s="42"/>
      <c r="L96" s="42"/>
      <c r="M96" s="42"/>
      <c r="N96" s="273" t="s">
        <v>98</v>
      </c>
      <c r="O96" s="229"/>
      <c r="P96" s="229"/>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74"/>
      <c r="C98" s="274"/>
      <c r="D98" s="274"/>
      <c r="E98" s="274"/>
      <c r="F98" s="274"/>
      <c r="G98" s="274"/>
      <c r="H98" s="274"/>
      <c r="I98" s="274"/>
      <c r="J98" s="274"/>
      <c r="K98" s="274"/>
      <c r="L98" s="274"/>
      <c r="M98" s="274"/>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6" t="s">
        <v>99</v>
      </c>
      <c r="C99" s="206"/>
      <c r="D99" s="206"/>
      <c r="E99" s="206"/>
      <c r="F99" s="206"/>
      <c r="G99" s="206"/>
      <c r="H99" s="206"/>
      <c r="I99" s="206"/>
      <c r="J99" s="206"/>
      <c r="K99" s="206"/>
      <c r="L99" s="206"/>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6" t="s">
        <v>100</v>
      </c>
      <c r="C100" s="206"/>
      <c r="D100" s="206"/>
      <c r="E100" s="206"/>
      <c r="F100" s="206"/>
      <c r="G100" s="206"/>
      <c r="H100" s="206"/>
      <c r="I100" s="206"/>
      <c r="J100" s="206"/>
      <c r="K100" s="117"/>
      <c r="L100" s="181" t="s">
        <v>9</v>
      </c>
      <c r="M100" s="192"/>
      <c r="N100" s="189">
        <v>28674893.739999998</v>
      </c>
      <c r="O100" s="189"/>
      <c r="P100" s="189"/>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70"/>
      <c r="C101" s="270"/>
      <c r="D101" s="270"/>
      <c r="E101" s="270"/>
      <c r="F101" s="270"/>
      <c r="G101" s="270"/>
      <c r="H101" s="270"/>
      <c r="I101" s="270"/>
      <c r="J101" s="270"/>
      <c r="K101" s="270"/>
      <c r="L101" s="270"/>
      <c r="M101" s="27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271"/>
      <c r="C102" s="271"/>
      <c r="D102" s="271"/>
      <c r="E102" s="271"/>
      <c r="F102" s="271"/>
      <c r="G102" s="271"/>
      <c r="H102" s="271"/>
      <c r="I102" s="271"/>
      <c r="J102" s="271"/>
      <c r="K102" s="271"/>
      <c r="L102" s="271"/>
      <c r="M102" s="271"/>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65" t="s">
        <v>101</v>
      </c>
      <c r="C103" s="265"/>
      <c r="D103" s="265"/>
      <c r="E103" s="265"/>
      <c r="F103" s="265"/>
      <c r="G103" s="265"/>
      <c r="H103" s="265"/>
      <c r="I103" s="265"/>
      <c r="J103" s="265"/>
      <c r="K103" s="265"/>
      <c r="L103" s="265"/>
      <c r="M103" s="265"/>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53">
        <f>(N33)</f>
        <v>29953172.109999999</v>
      </c>
      <c r="C105" s="253"/>
      <c r="D105" s="253"/>
      <c r="E105" s="114" t="s">
        <v>44</v>
      </c>
      <c r="F105" s="183">
        <f>F95</f>
        <v>18715.259999999998</v>
      </c>
      <c r="G105" s="272"/>
      <c r="H105" s="272"/>
      <c r="I105" s="114"/>
      <c r="J105" s="20"/>
      <c r="K105" s="20"/>
      <c r="L105" s="181" t="s">
        <v>9</v>
      </c>
      <c r="M105" s="192"/>
      <c r="N105" s="183">
        <f>(B105+F105)</f>
        <v>29971887.370000001</v>
      </c>
      <c r="O105" s="183"/>
      <c r="P105" s="18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51" t="s">
        <v>102</v>
      </c>
      <c r="C106" s="151"/>
      <c r="D106" s="151"/>
      <c r="E106" s="42"/>
      <c r="F106" s="151" t="s">
        <v>97</v>
      </c>
      <c r="G106" s="230"/>
      <c r="H106" s="230"/>
      <c r="I106" s="42"/>
      <c r="J106" s="42"/>
      <c r="K106" s="42"/>
      <c r="L106" s="42"/>
      <c r="M106" s="42"/>
      <c r="N106" s="151" t="s">
        <v>103</v>
      </c>
      <c r="O106" s="151"/>
      <c r="P106" s="151"/>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65" t="s">
        <v>104</v>
      </c>
      <c r="C108" s="276"/>
      <c r="D108" s="276"/>
      <c r="E108" s="276"/>
      <c r="F108" s="276"/>
      <c r="G108" s="276"/>
      <c r="H108" s="276"/>
      <c r="I108" s="276"/>
      <c r="J108" s="276"/>
      <c r="K108" s="276"/>
      <c r="L108" s="276"/>
      <c r="M108" s="276"/>
      <c r="N108" s="276"/>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53">
        <f>MIN(N95:N100:N105)</f>
        <v>28521608.899999999</v>
      </c>
      <c r="C110" s="253"/>
      <c r="D110" s="253"/>
      <c r="E110" s="114" t="s">
        <v>105</v>
      </c>
      <c r="F110" s="189"/>
      <c r="G110" s="189"/>
      <c r="H110" s="189"/>
      <c r="I110" s="114"/>
      <c r="J110" s="20"/>
      <c r="K110" s="20"/>
      <c r="L110" s="181" t="s">
        <v>9</v>
      </c>
      <c r="M110" s="181"/>
      <c r="N110" s="183">
        <f>(B110-F110)</f>
        <v>28521608.899999999</v>
      </c>
      <c r="O110" s="183"/>
      <c r="P110" s="18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51" t="s">
        <v>106</v>
      </c>
      <c r="C111" s="151"/>
      <c r="D111" s="151"/>
      <c r="E111" s="42"/>
      <c r="F111" s="151" t="s">
        <v>107</v>
      </c>
      <c r="G111" s="151"/>
      <c r="H111" s="151"/>
      <c r="I111" s="42"/>
      <c r="J111" s="42"/>
      <c r="K111" s="42"/>
      <c r="L111" s="42"/>
      <c r="M111" s="42"/>
      <c r="N111" s="151" t="s">
        <v>103</v>
      </c>
      <c r="O111" s="151"/>
      <c r="P111" s="151"/>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224"/>
      <c r="C113" s="224"/>
      <c r="D113" s="224"/>
      <c r="E113" s="224"/>
      <c r="F113" s="224"/>
      <c r="G113" s="224"/>
      <c r="H113" s="224"/>
      <c r="I113" s="224"/>
      <c r="J113" s="224"/>
      <c r="K113" s="224"/>
      <c r="L113" s="224"/>
      <c r="M113" s="224"/>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6" t="s">
        <v>109</v>
      </c>
      <c r="C115" s="217"/>
      <c r="D115" s="217"/>
      <c r="E115" s="217"/>
      <c r="F115" s="217"/>
      <c r="G115" s="217"/>
      <c r="H115" s="217"/>
      <c r="I115" s="217"/>
      <c r="J115" s="217"/>
      <c r="K115" s="139"/>
      <c r="L115" s="181" t="s">
        <v>9</v>
      </c>
      <c r="M115" s="192"/>
      <c r="N115" s="183">
        <f>N40</f>
        <v>65397156.329999998</v>
      </c>
      <c r="O115" s="183"/>
      <c r="P115" s="18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265" t="s">
        <v>110</v>
      </c>
      <c r="C118" s="265"/>
      <c r="D118" s="265"/>
      <c r="E118" s="265"/>
      <c r="F118" s="265"/>
      <c r="G118" s="265"/>
      <c r="H118" s="265"/>
      <c r="I118" s="265"/>
      <c r="J118" s="265"/>
      <c r="K118" s="265"/>
      <c r="L118" s="265"/>
      <c r="M118" s="265"/>
      <c r="N118" s="289">
        <f>MIN(N110:N115)</f>
        <v>28521608.899999999</v>
      </c>
      <c r="O118" s="289"/>
      <c r="P118" s="290"/>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271" t="s">
        <v>112</v>
      </c>
      <c r="C119" s="217"/>
      <c r="D119" s="280" t="s">
        <v>113</v>
      </c>
      <c r="E119" s="280"/>
      <c r="F119" s="150">
        <v>2023</v>
      </c>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2" t="s">
        <v>114</v>
      </c>
      <c r="E120" s="182"/>
      <c r="F120" s="182"/>
      <c r="G120" s="182"/>
      <c r="H120" s="182"/>
      <c r="I120" s="182"/>
      <c r="J120" s="150" t="s">
        <v>142</v>
      </c>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284" t="s">
        <v>115</v>
      </c>
      <c r="C121" s="218"/>
      <c r="D121" s="218"/>
      <c r="E121" s="218"/>
      <c r="F121" s="218"/>
      <c r="G121" s="218"/>
      <c r="H121" s="218"/>
      <c r="I121" s="218"/>
      <c r="J121" s="218"/>
      <c r="K121" s="117"/>
      <c r="L121" s="117"/>
      <c r="M121" s="117"/>
      <c r="N121" s="291"/>
      <c r="O121" s="291"/>
      <c r="P121" s="29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284" t="s">
        <v>116</v>
      </c>
      <c r="C122" s="218"/>
      <c r="D122" s="218"/>
      <c r="E122" s="218"/>
      <c r="F122" s="218"/>
      <c r="G122" s="218"/>
      <c r="H122" s="218"/>
      <c r="I122" s="218"/>
      <c r="J122" s="218"/>
      <c r="K122" s="117"/>
      <c r="L122" s="181"/>
      <c r="M122" s="192"/>
      <c r="N122" s="285">
        <v>7902.46</v>
      </c>
      <c r="O122" s="285"/>
      <c r="P122" s="286"/>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6" t="s">
        <v>118</v>
      </c>
      <c r="C123" s="287"/>
      <c r="D123" s="287"/>
      <c r="E123" s="287"/>
      <c r="F123" s="287"/>
      <c r="G123" s="287"/>
      <c r="H123" s="287"/>
      <c r="I123" s="287"/>
      <c r="J123" s="287"/>
      <c r="K123" s="113"/>
      <c r="L123" s="113"/>
      <c r="M123" s="113"/>
      <c r="N123" s="288">
        <f>(N118-N121+N122)</f>
        <v>28529511.359999999</v>
      </c>
      <c r="O123" s="288"/>
      <c r="P123" s="288"/>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219" t="s">
        <v>120</v>
      </c>
      <c r="C126" s="219"/>
      <c r="D126" s="219"/>
      <c r="E126" s="219"/>
      <c r="F126" s="219"/>
      <c r="G126" s="219"/>
      <c r="H126" s="219"/>
      <c r="I126" s="219"/>
      <c r="J126" s="219"/>
      <c r="K126" s="219"/>
      <c r="L126" s="219"/>
      <c r="M126" s="219"/>
      <c r="N126" s="219"/>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83">
        <f>MIN(N115,N118)</f>
        <v>28521608.899999999</v>
      </c>
      <c r="C128" s="183"/>
      <c r="D128" s="272"/>
      <c r="E128" s="114" t="s">
        <v>14</v>
      </c>
      <c r="F128" s="232">
        <f>SUM(N51)</f>
        <v>36331753518</v>
      </c>
      <c r="G128" s="232"/>
      <c r="H128" s="232"/>
      <c r="I128" s="28" t="s">
        <v>8</v>
      </c>
      <c r="J128" s="19">
        <v>1000</v>
      </c>
      <c r="K128" s="20"/>
      <c r="L128" s="181" t="s">
        <v>9</v>
      </c>
      <c r="M128" s="234"/>
      <c r="N128" s="216">
        <f>SUM(B128/F128*J128)</f>
        <v>0.78503254421400004</v>
      </c>
      <c r="O128" s="216"/>
      <c r="P128" s="216"/>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279" t="s">
        <v>124</v>
      </c>
      <c r="O129" s="279"/>
      <c r="P129" s="279"/>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275" t="s">
        <v>126</v>
      </c>
      <c r="C132" s="276"/>
      <c r="D132" s="276"/>
      <c r="E132" s="276"/>
      <c r="F132" s="276"/>
      <c r="G132" s="276"/>
      <c r="H132" s="276"/>
      <c r="I132" s="276"/>
      <c r="J132" s="276"/>
      <c r="K132" s="276"/>
      <c r="L132" s="276"/>
      <c r="M132" s="276"/>
      <c r="N132" s="276"/>
      <c r="O132" s="276"/>
      <c r="P132" s="276"/>
      <c r="Q132" s="277"/>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83">
        <f>IF(AND(J120="No",F119&gt;2023),MIN(N100,N123),MIN(N115,N123,N100))</f>
        <v>28529511.359999999</v>
      </c>
      <c r="C134" s="183"/>
      <c r="D134" s="183"/>
      <c r="E134" s="114" t="s">
        <v>14</v>
      </c>
      <c r="F134" s="232">
        <f>SUM(N51)</f>
        <v>36331753518</v>
      </c>
      <c r="G134" s="232"/>
      <c r="H134" s="232"/>
      <c r="I134" s="28" t="s">
        <v>8</v>
      </c>
      <c r="J134" s="19">
        <v>1000</v>
      </c>
      <c r="K134" s="20"/>
      <c r="L134" s="114" t="s">
        <v>9</v>
      </c>
      <c r="M134" s="120"/>
      <c r="N134" s="216">
        <f>SUM(B134/F134*J134)</f>
        <v>0.785250052571</v>
      </c>
      <c r="O134" s="216"/>
      <c r="P134" s="216"/>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51" t="s">
        <v>128</v>
      </c>
      <c r="C135" s="151"/>
      <c r="D135" s="151"/>
      <c r="E135" s="127"/>
      <c r="F135" s="151" t="s">
        <v>129</v>
      </c>
      <c r="G135" s="151"/>
      <c r="H135" s="151"/>
      <c r="I135" s="80"/>
      <c r="J135" s="19"/>
      <c r="K135" s="19"/>
      <c r="L135" s="127"/>
      <c r="M135" s="81"/>
      <c r="N135" s="278" t="s">
        <v>130</v>
      </c>
      <c r="O135" s="278"/>
      <c r="P135" s="278"/>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160" t="s">
        <v>132</v>
      </c>
      <c r="C136" s="160"/>
      <c r="D136" s="160"/>
      <c r="E136" s="160"/>
      <c r="F136" s="160"/>
      <c r="G136" s="160"/>
      <c r="H136" s="160"/>
      <c r="I136" s="160"/>
      <c r="J136" s="160"/>
      <c r="K136" s="160"/>
      <c r="L136" s="160"/>
      <c r="M136" s="160"/>
      <c r="N136" s="160"/>
      <c r="O136" s="160"/>
      <c r="P136" s="160"/>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156"/>
      <c r="C137" s="156"/>
      <c r="D137" s="156"/>
      <c r="E137" s="156"/>
      <c r="F137" s="94" t="s">
        <v>134</v>
      </c>
      <c r="G137" s="92"/>
      <c r="H137" s="159"/>
      <c r="I137" s="159"/>
      <c r="J137" s="159"/>
      <c r="K137" s="159"/>
      <c r="L137" s="159"/>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157" t="s">
        <v>135</v>
      </c>
      <c r="C138" s="157"/>
      <c r="D138" s="157"/>
      <c r="E138" s="157"/>
      <c r="F138" s="121"/>
      <c r="G138" s="121"/>
      <c r="H138" s="136" t="s">
        <v>136</v>
      </c>
      <c r="I138" s="22"/>
      <c r="J138" s="93"/>
      <c r="K138" s="93"/>
      <c r="L138" s="136"/>
      <c r="M138" s="136"/>
      <c r="N138" s="162"/>
      <c r="O138" s="162"/>
      <c r="P138" s="162"/>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161"/>
      <c r="C139" s="162"/>
      <c r="D139" s="162"/>
      <c r="E139" s="162"/>
      <c r="F139" s="136"/>
      <c r="G139" s="136"/>
      <c r="H139" s="163"/>
      <c r="I139" s="163"/>
      <c r="J139" s="163"/>
      <c r="K139" s="163"/>
      <c r="L139" s="163"/>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154">
        <f>(B134+B137-H137)</f>
        <v>28529511.359999999</v>
      </c>
      <c r="C140" s="155"/>
      <c r="D140" s="155"/>
      <c r="E140" s="114" t="s">
        <v>14</v>
      </c>
      <c r="F140" s="152">
        <f>SUM(N51)</f>
        <v>36331753518</v>
      </c>
      <c r="G140" s="152"/>
      <c r="H140" s="152"/>
      <c r="I140" s="28" t="s">
        <v>8</v>
      </c>
      <c r="J140" s="19">
        <v>1000</v>
      </c>
      <c r="K140" s="136"/>
      <c r="L140" s="114" t="s">
        <v>9</v>
      </c>
      <c r="M140" s="136"/>
      <c r="N140" s="153">
        <f>SUM(B140/F140*J140)</f>
        <v>0.785250052571</v>
      </c>
      <c r="O140" s="153"/>
      <c r="P140" s="153"/>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158" t="s">
        <v>138</v>
      </c>
      <c r="C141" s="158"/>
      <c r="D141" s="158"/>
      <c r="E141" s="142"/>
      <c r="F141" s="151" t="s">
        <v>129</v>
      </c>
      <c r="G141" s="151"/>
      <c r="H141" s="151"/>
      <c r="I141" s="142"/>
      <c r="J141" s="142"/>
      <c r="K141" s="142"/>
      <c r="L141" s="142"/>
      <c r="M141" s="142"/>
      <c r="N141" s="158" t="s">
        <v>139</v>
      </c>
      <c r="O141" s="158"/>
      <c r="P141" s="158"/>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281">
        <v>45582</v>
      </c>
      <c r="E142" s="28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F141:H141"/>
    <mergeCell ref="F140:H140"/>
    <mergeCell ref="N140:P140"/>
    <mergeCell ref="B140:D140"/>
    <mergeCell ref="B137:E137"/>
    <mergeCell ref="B138:E138"/>
    <mergeCell ref="N141:P141"/>
    <mergeCell ref="B141:D141"/>
    <mergeCell ref="H137:L137"/>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2025-01-14T17:17:12Z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