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120" yWindow="-132" windowWidth="22632" windowHeight="12264" firstSheet="5" activeTab="11"/>
  </bookViews>
  <sheets>
    <sheet name="Ranking - Total Anual" sheetId="1" state="hidden" r:id="rId1"/>
    <sheet name="Gerente - Mensal " sheetId="2" state="hidden" r:id="rId2"/>
    <sheet name="Corretor - Mensal" sheetId="3" state="hidden" r:id="rId3"/>
    <sheet name="Coord. Mac e Cia" sheetId="4" state="hidden" r:id="rId4"/>
    <sheet name="Plan10" sheetId="24" state="hidden" r:id="rId5"/>
    <sheet name="Novo Ranking 2013 E 2014" sheetId="13" r:id="rId6"/>
    <sheet name="mensal" sheetId="14" state="hidden" r:id="rId7"/>
    <sheet name="Plan4" sheetId="15" state="hidden" r:id="rId8"/>
    <sheet name="Plan5" sheetId="16" state="hidden" r:id="rId9"/>
    <sheet name="Plan9" sheetId="20" state="hidden" r:id="rId10"/>
    <sheet name="Ranking 2º semestre" sheetId="22" state="hidden" r:id="rId11"/>
    <sheet name="Acumulado dos Corretores" sheetId="5" r:id="rId12"/>
    <sheet name="Plan1" sheetId="6" state="hidden" r:id="rId13"/>
    <sheet name="Plan2" sheetId="7" state="hidden" r:id="rId14"/>
    <sheet name="Acumulado dos Gerentes" sheetId="11" state="hidden" r:id="rId15"/>
    <sheet name="Plan3" sheetId="10" state="hidden" r:id="rId16"/>
    <sheet name="Plan6" sheetId="17" state="hidden" r:id="rId17"/>
    <sheet name="Plan7" sheetId="18" state="hidden" r:id="rId18"/>
    <sheet name="Plan8" sheetId="19" state="hidden" r:id="rId19"/>
    <sheet name="Share 2013" sheetId="23" state="hidden" r:id="rId20"/>
  </sheets>
  <definedNames>
    <definedName name="_xlnm._FilterDatabase" localSheetId="11" hidden="1">'Acumulado dos Corretores'!$A$1:$J$350</definedName>
    <definedName name="_xlnm._FilterDatabase" localSheetId="14" hidden="1">'Acumulado dos Gerentes'!$A$1:$J$436</definedName>
    <definedName name="_xlnm._FilterDatabase" localSheetId="3" hidden="1">'Coord. Mac e Cia'!$A$1:$I$1</definedName>
    <definedName name="_xlnm._FilterDatabase" localSheetId="2" hidden="1">'Corretor - Mensal'!$K$3:$M$3</definedName>
    <definedName name="_xlnm._FilterDatabase" localSheetId="1" hidden="1">'Gerente - Mensal '!$A$2:$I$2</definedName>
    <definedName name="_xlnm._FilterDatabase" localSheetId="13" hidden="1">Plan2!$A$1:$I$1</definedName>
    <definedName name="_xlnm._FilterDatabase" localSheetId="17" hidden="1">Plan7!#REF!</definedName>
    <definedName name="_xlnm._FilterDatabase" localSheetId="18" hidden="1">Plan8!$A$1:$E$41</definedName>
    <definedName name="_xlnm._FilterDatabase" localSheetId="0" hidden="1">'Ranking - Total Anual'!$G$5:$J$5</definedName>
  </definedNames>
  <calcPr calcId="145621"/>
  <pivotCaches>
    <pivotCache cacheId="11" r:id="rId21"/>
  </pivotCaches>
</workbook>
</file>

<file path=xl/calcChain.xml><?xml version="1.0" encoding="utf-8"?>
<calcChain xmlns="http://schemas.openxmlformats.org/spreadsheetml/2006/main">
  <c r="K1141" i="5" l="1"/>
  <c r="L1141" i="5"/>
  <c r="K1138" i="5"/>
  <c r="L1138" i="5"/>
  <c r="K1139" i="5"/>
  <c r="L1139" i="5"/>
  <c r="K1098" i="5"/>
  <c r="L1098" i="5"/>
  <c r="K1099" i="5"/>
  <c r="L1099" i="5"/>
  <c r="K1101" i="5"/>
  <c r="L1101" i="5"/>
  <c r="K1102" i="5"/>
  <c r="L1102" i="5"/>
  <c r="K1103" i="5"/>
  <c r="L1103" i="5"/>
  <c r="K1104" i="5"/>
  <c r="L1104" i="5"/>
  <c r="K1105" i="5"/>
  <c r="L1105" i="5"/>
  <c r="K1106" i="5"/>
  <c r="L1106" i="5"/>
  <c r="K1107" i="5"/>
  <c r="L1107" i="5"/>
  <c r="K1108" i="5"/>
  <c r="L1108" i="5"/>
  <c r="K1109" i="5"/>
  <c r="L1109" i="5"/>
  <c r="K1110" i="5"/>
  <c r="L1110" i="5"/>
  <c r="K1111" i="5"/>
  <c r="L1111" i="5"/>
  <c r="K1112" i="5"/>
  <c r="L1112" i="5"/>
  <c r="K1113" i="5"/>
  <c r="L1113" i="5"/>
  <c r="K1114" i="5"/>
  <c r="L1114" i="5"/>
  <c r="I1115" i="5"/>
  <c r="K1115" i="5"/>
  <c r="L1115" i="5"/>
  <c r="I1116" i="5"/>
  <c r="K1116" i="5"/>
  <c r="L1116" i="5"/>
  <c r="K1117" i="5"/>
  <c r="L1117" i="5"/>
  <c r="K1118" i="5"/>
  <c r="L1118" i="5"/>
  <c r="K1119" i="5"/>
  <c r="L1119" i="5"/>
  <c r="K1120" i="5"/>
  <c r="L1120" i="5"/>
  <c r="K1121" i="5"/>
  <c r="L1121" i="5"/>
  <c r="K1122" i="5"/>
  <c r="L1122" i="5"/>
  <c r="K1123" i="5"/>
  <c r="L1123" i="5"/>
  <c r="K1124" i="5"/>
  <c r="L1124" i="5"/>
  <c r="K1125" i="5"/>
  <c r="L1125" i="5"/>
  <c r="K1126" i="5"/>
  <c r="L1126" i="5"/>
  <c r="K1127" i="5"/>
  <c r="L1127" i="5"/>
  <c r="K1128" i="5"/>
  <c r="L1128" i="5"/>
  <c r="I1129" i="5"/>
  <c r="K1129" i="5"/>
  <c r="L1129" i="5"/>
  <c r="I1130" i="5"/>
  <c r="K1130" i="5"/>
  <c r="L1130" i="5"/>
  <c r="K1131" i="5"/>
  <c r="L1131" i="5"/>
  <c r="K1132" i="5"/>
  <c r="L1132" i="5"/>
  <c r="K1134" i="5"/>
  <c r="L1134" i="5"/>
  <c r="K1135" i="5"/>
  <c r="L1135" i="5"/>
  <c r="K1136" i="5"/>
  <c r="L1136" i="5"/>
  <c r="K1142" i="5" l="1"/>
  <c r="L1142" i="5"/>
  <c r="K1140" i="5" l="1"/>
  <c r="L1140" i="5"/>
  <c r="K1137" i="5" l="1"/>
  <c r="L1137" i="5"/>
  <c r="I17" i="23" l="1"/>
  <c r="I5" i="23"/>
  <c r="I6" i="23"/>
  <c r="I7" i="23"/>
  <c r="I8" i="23"/>
  <c r="I9" i="23"/>
  <c r="I10" i="23"/>
  <c r="I11" i="23"/>
  <c r="I12" i="23"/>
  <c r="I13" i="23"/>
  <c r="I14" i="23"/>
  <c r="I15" i="23"/>
  <c r="I16" i="23"/>
  <c r="G15" i="23" l="1"/>
  <c r="G14" i="23"/>
  <c r="C14" i="23"/>
  <c r="G12" i="23"/>
  <c r="D12" i="23"/>
  <c r="G10" i="23"/>
  <c r="D10" i="23"/>
  <c r="G9" i="23"/>
  <c r="C9" i="23"/>
  <c r="G7" i="23"/>
  <c r="D7" i="23"/>
  <c r="K21" i="5" l="1"/>
  <c r="L21" i="5"/>
  <c r="I1061" i="5" l="1"/>
  <c r="I1062" i="5"/>
  <c r="K1097" i="5" l="1"/>
  <c r="L1097" i="5"/>
  <c r="K751" i="5"/>
  <c r="L751" i="5"/>
  <c r="K767" i="5" l="1"/>
  <c r="L767" i="5"/>
  <c r="K699" i="5"/>
  <c r="L699" i="5"/>
  <c r="K784" i="5" l="1"/>
  <c r="L784" i="5"/>
  <c r="K1095" i="5"/>
  <c r="L1095" i="5"/>
  <c r="K1094" i="5"/>
  <c r="L1094" i="5"/>
  <c r="K1091" i="5" l="1"/>
  <c r="L1091" i="5"/>
  <c r="K1090" i="5"/>
  <c r="L1090" i="5"/>
  <c r="K1086" i="5"/>
  <c r="L1086" i="5"/>
  <c r="K1087" i="5"/>
  <c r="L1087" i="5"/>
  <c r="K1088" i="5"/>
  <c r="L1088" i="5"/>
  <c r="K1089" i="5"/>
  <c r="L1089" i="5"/>
  <c r="K1096" i="5"/>
  <c r="L1096" i="5"/>
  <c r="K1093" i="5"/>
  <c r="L1093" i="5"/>
  <c r="K1092" i="5"/>
  <c r="L1092" i="5"/>
  <c r="L1084" i="5" l="1"/>
  <c r="K1084" i="5"/>
  <c r="I1084" i="5"/>
  <c r="I1083" i="5"/>
  <c r="K1083" i="5"/>
  <c r="L1083" i="5"/>
  <c r="K1085" i="5"/>
  <c r="L1085" i="5"/>
  <c r="K1082" i="5"/>
  <c r="L1082" i="5"/>
  <c r="K1078" i="5"/>
  <c r="L1078" i="5"/>
  <c r="K1079" i="5"/>
  <c r="L1079" i="5"/>
  <c r="K1080" i="5"/>
  <c r="L1080" i="5"/>
  <c r="K1081" i="5" l="1"/>
  <c r="L1081" i="5"/>
  <c r="K1071" i="5"/>
  <c r="L1071" i="5"/>
  <c r="I1069" i="5"/>
  <c r="I1070" i="5"/>
  <c r="K1074" i="5" l="1"/>
  <c r="L1074" i="5"/>
  <c r="K1070" i="5"/>
  <c r="L1070" i="5"/>
  <c r="K1069" i="5"/>
  <c r="L1069" i="5"/>
  <c r="K1077" i="5"/>
  <c r="L1077" i="5"/>
  <c r="K1072" i="5"/>
  <c r="L1072" i="5"/>
  <c r="K1076" i="5"/>
  <c r="L1076" i="5"/>
  <c r="L1075" i="5"/>
  <c r="K1075" i="5"/>
  <c r="K1066" i="5"/>
  <c r="L1066" i="5"/>
  <c r="I1068" i="5"/>
  <c r="I1067" i="5"/>
  <c r="K1073" i="5"/>
  <c r="L1073" i="5"/>
  <c r="K1067" i="5"/>
  <c r="L1067" i="5"/>
  <c r="K1068" i="5"/>
  <c r="L1068" i="5"/>
  <c r="K1065" i="5"/>
  <c r="L1065" i="5"/>
  <c r="K1062" i="5"/>
  <c r="L1062" i="5"/>
  <c r="K1061" i="5"/>
  <c r="L1061" i="5"/>
  <c r="K1063" i="5" l="1"/>
  <c r="L1063" i="5"/>
  <c r="K1064" i="5"/>
  <c r="L1064" i="5"/>
  <c r="K979" i="5"/>
  <c r="L979" i="5"/>
  <c r="I951" i="5" l="1"/>
  <c r="I952" i="5"/>
  <c r="I953" i="5"/>
  <c r="I954" i="5"/>
  <c r="K1010" i="5" l="1"/>
  <c r="L1010" i="5"/>
  <c r="K992" i="5"/>
  <c r="L992" i="5"/>
  <c r="K954" i="5"/>
  <c r="L954" i="5"/>
  <c r="K953" i="5"/>
  <c r="L953" i="5"/>
  <c r="K952" i="5"/>
  <c r="L952" i="5"/>
  <c r="K951" i="5"/>
  <c r="L951" i="5"/>
  <c r="I970" i="5" l="1"/>
  <c r="I971" i="5"/>
  <c r="I1006" i="5" l="1"/>
  <c r="I1007" i="5"/>
  <c r="K1009" i="5" l="1"/>
  <c r="L1009" i="5"/>
  <c r="K1008" i="5"/>
  <c r="L1008" i="5"/>
  <c r="K1002" i="5"/>
  <c r="L1002" i="5"/>
  <c r="K1011" i="5"/>
  <c r="L1011" i="5"/>
  <c r="K1005" i="5"/>
  <c r="L1005" i="5"/>
  <c r="K1012" i="5"/>
  <c r="L1012" i="5"/>
  <c r="K978" i="5"/>
  <c r="L978" i="5"/>
  <c r="K1007" i="5"/>
  <c r="L1007" i="5"/>
  <c r="K1006" i="5"/>
  <c r="L1006" i="5"/>
  <c r="K1003" i="5"/>
  <c r="L1003" i="5"/>
  <c r="K1060" i="5"/>
  <c r="L1060" i="5"/>
  <c r="K1059" i="5"/>
  <c r="L1059" i="5"/>
  <c r="K971" i="5"/>
  <c r="L971" i="5"/>
  <c r="K970" i="5"/>
  <c r="L970" i="5"/>
  <c r="K849" i="5"/>
  <c r="L849" i="5"/>
  <c r="I1037" i="5"/>
  <c r="I1036" i="5"/>
  <c r="I1031" i="5" l="1"/>
  <c r="I1030" i="5"/>
  <c r="I1027" i="5"/>
  <c r="I1028" i="5"/>
  <c r="I1050" i="5" l="1"/>
  <c r="I1051" i="5"/>
  <c r="I1019" i="5"/>
  <c r="I1020" i="5"/>
  <c r="I1023" i="5"/>
  <c r="I1024" i="5"/>
  <c r="I1014" i="5"/>
  <c r="I1015" i="5"/>
  <c r="I1021" i="5"/>
  <c r="I1022" i="5"/>
  <c r="K1029" i="5"/>
  <c r="L1029" i="5"/>
  <c r="K1022" i="5"/>
  <c r="L1022" i="5"/>
  <c r="K1021" i="5"/>
  <c r="L1021" i="5"/>
  <c r="K1015" i="5"/>
  <c r="L1015" i="5"/>
  <c r="K1014" i="5"/>
  <c r="L1014" i="5"/>
  <c r="K1024" i="5"/>
  <c r="L1024" i="5"/>
  <c r="K1023" i="5"/>
  <c r="L1023" i="5"/>
  <c r="K1020" i="5"/>
  <c r="L1020" i="5"/>
  <c r="K1019" i="5"/>
  <c r="L1019" i="5"/>
  <c r="K1051" i="5"/>
  <c r="L1051" i="5"/>
  <c r="K1050" i="5"/>
  <c r="L1050" i="5"/>
  <c r="K1053" i="5"/>
  <c r="L1053" i="5"/>
  <c r="K1054" i="5"/>
  <c r="L1054" i="5"/>
  <c r="K1057" i="5"/>
  <c r="L1057" i="5"/>
  <c r="K1056" i="5"/>
  <c r="L1056" i="5"/>
  <c r="K1058" i="5"/>
  <c r="L1058" i="5"/>
  <c r="K1055" i="5"/>
  <c r="L1055" i="5"/>
  <c r="K1025" i="5"/>
  <c r="L1025" i="5"/>
  <c r="K1028" i="5"/>
  <c r="L1028" i="5"/>
  <c r="K1027" i="5"/>
  <c r="L1027" i="5"/>
  <c r="K1026" i="5"/>
  <c r="L1026" i="5"/>
  <c r="K1030" i="5"/>
  <c r="L1030" i="5"/>
  <c r="K1031" i="5"/>
  <c r="L1031" i="5"/>
  <c r="K1036" i="5"/>
  <c r="L1036" i="5"/>
  <c r="K1037" i="5"/>
  <c r="L1037" i="5"/>
  <c r="K850" i="5"/>
  <c r="L850" i="5"/>
  <c r="K1004" i="5"/>
  <c r="L1004" i="5"/>
  <c r="I1032" i="5"/>
  <c r="I1033" i="5"/>
  <c r="I1046" i="5"/>
  <c r="I1047" i="5"/>
  <c r="I1048" i="5"/>
  <c r="I1049" i="5"/>
  <c r="I1043" i="5"/>
  <c r="I1044" i="5"/>
  <c r="I1039" i="5"/>
  <c r="I1038" i="5"/>
  <c r="I1041" i="5"/>
  <c r="I1042" i="5"/>
  <c r="I995" i="5"/>
  <c r="I994" i="5"/>
  <c r="I997" i="5"/>
  <c r="I998" i="5"/>
  <c r="K997" i="5"/>
  <c r="L997" i="5"/>
  <c r="I851" i="5" l="1"/>
  <c r="K769" i="5" l="1"/>
  <c r="L769" i="5"/>
  <c r="K821" i="5"/>
  <c r="L821" i="5"/>
  <c r="K822" i="5"/>
  <c r="L822" i="5"/>
  <c r="K980" i="5"/>
  <c r="L980" i="5"/>
  <c r="K851" i="5"/>
  <c r="L851" i="5"/>
  <c r="K944" i="5"/>
  <c r="L944" i="5"/>
  <c r="K962" i="5"/>
  <c r="L962" i="5"/>
  <c r="K864" i="5"/>
  <c r="L864" i="5"/>
  <c r="K1000" i="5"/>
  <c r="L1000" i="5"/>
  <c r="K999" i="5"/>
  <c r="L999" i="5"/>
  <c r="K1001" i="5"/>
  <c r="L1001" i="5"/>
  <c r="K998" i="5"/>
  <c r="L998" i="5"/>
  <c r="K993" i="5"/>
  <c r="L993" i="5"/>
  <c r="K994" i="5"/>
  <c r="L994" i="5"/>
  <c r="K995" i="5"/>
  <c r="L995" i="5"/>
  <c r="K1017" i="5"/>
  <c r="L1017" i="5"/>
  <c r="K1018" i="5"/>
  <c r="L1018" i="5"/>
  <c r="I987" i="5" l="1"/>
  <c r="I988" i="5"/>
  <c r="I985" i="5"/>
  <c r="I986" i="5"/>
  <c r="K986" i="5"/>
  <c r="L986" i="5"/>
  <c r="K985" i="5"/>
  <c r="L985" i="5"/>
  <c r="K983" i="5"/>
  <c r="L983" i="5"/>
  <c r="K989" i="5"/>
  <c r="L989" i="5"/>
  <c r="K988" i="5"/>
  <c r="L988" i="5"/>
  <c r="K987" i="5"/>
  <c r="L987" i="5"/>
  <c r="K984" i="5"/>
  <c r="L984" i="5"/>
  <c r="K990" i="5"/>
  <c r="L990" i="5"/>
  <c r="K991" i="5"/>
  <c r="L991" i="5"/>
  <c r="K981" i="5"/>
  <c r="L981" i="5"/>
  <c r="K982" i="5"/>
  <c r="L982" i="5"/>
  <c r="K1016" i="5"/>
  <c r="L1016" i="5"/>
  <c r="K1013" i="5"/>
  <c r="L1013" i="5"/>
  <c r="K1042" i="5"/>
  <c r="L1042" i="5"/>
  <c r="K1041" i="5"/>
  <c r="L1041" i="5"/>
  <c r="K1035" i="5"/>
  <c r="L1035" i="5"/>
  <c r="K1052" i="5"/>
  <c r="L1052" i="5"/>
  <c r="K1038" i="5"/>
  <c r="L1038" i="5"/>
  <c r="K1039" i="5"/>
  <c r="L1039" i="5"/>
  <c r="K1040" i="5"/>
  <c r="L1040" i="5"/>
  <c r="K1034" i="5"/>
  <c r="L1034" i="5"/>
  <c r="K1044" i="5"/>
  <c r="L1044" i="5"/>
  <c r="K1043" i="5"/>
  <c r="L1043" i="5"/>
  <c r="K1049" i="5"/>
  <c r="L1049" i="5"/>
  <c r="K1048" i="5"/>
  <c r="L1048" i="5"/>
  <c r="I965" i="5" l="1"/>
  <c r="I966" i="5"/>
  <c r="I968" i="5"/>
  <c r="I969" i="5"/>
  <c r="I956" i="5"/>
  <c r="I957" i="5"/>
  <c r="I958" i="5"/>
  <c r="I959" i="5"/>
  <c r="I949" i="5"/>
  <c r="I950" i="5"/>
  <c r="I947" i="5"/>
  <c r="I948" i="5"/>
  <c r="K912" i="5" l="1"/>
  <c r="L912" i="5"/>
  <c r="K913" i="5"/>
  <c r="L913" i="5"/>
  <c r="K918" i="5"/>
  <c r="L918" i="5"/>
  <c r="K948" i="5"/>
  <c r="L948" i="5"/>
  <c r="K947" i="5"/>
  <c r="L947" i="5"/>
  <c r="K973" i="5"/>
  <c r="L973" i="5"/>
  <c r="K950" i="5"/>
  <c r="L950" i="5"/>
  <c r="K949" i="5"/>
  <c r="L949" i="5"/>
  <c r="K976" i="5"/>
  <c r="L976" i="5"/>
  <c r="K945" i="5"/>
  <c r="L945" i="5"/>
  <c r="K946" i="5"/>
  <c r="L946" i="5"/>
  <c r="K955" i="5"/>
  <c r="L955" i="5"/>
  <c r="K961" i="5"/>
  <c r="L961" i="5"/>
  <c r="K975" i="5"/>
  <c r="L975" i="5"/>
  <c r="K964" i="5"/>
  <c r="L964" i="5"/>
  <c r="K959" i="5"/>
  <c r="L959" i="5"/>
  <c r="K958" i="5"/>
  <c r="L958" i="5"/>
  <c r="K957" i="5"/>
  <c r="L957" i="5"/>
  <c r="K956" i="5"/>
  <c r="L956" i="5"/>
  <c r="K932" i="5"/>
  <c r="L932" i="5"/>
  <c r="K933" i="5"/>
  <c r="L933" i="5"/>
  <c r="K969" i="5"/>
  <c r="L969" i="5"/>
  <c r="K968" i="5"/>
  <c r="L968" i="5"/>
  <c r="K967" i="5"/>
  <c r="L967" i="5"/>
  <c r="K974" i="5"/>
  <c r="L974" i="5"/>
  <c r="K972" i="5"/>
  <c r="L972" i="5"/>
  <c r="K963" i="5"/>
  <c r="L963" i="5"/>
  <c r="K966" i="5"/>
  <c r="L966" i="5"/>
  <c r="K965" i="5"/>
  <c r="L965" i="5"/>
  <c r="K960" i="5"/>
  <c r="L960" i="5"/>
  <c r="K977" i="5"/>
  <c r="L977" i="5"/>
  <c r="K1047" i="5"/>
  <c r="L1047" i="5"/>
  <c r="K1046" i="5"/>
  <c r="L1046" i="5"/>
  <c r="K1045" i="5"/>
  <c r="L1045" i="5"/>
  <c r="K1033" i="5"/>
  <c r="L1033" i="5"/>
  <c r="K1032" i="5"/>
  <c r="L1032" i="5"/>
  <c r="K996" i="5"/>
  <c r="L996" i="5"/>
  <c r="I916" i="5"/>
  <c r="I917" i="5"/>
  <c r="I922" i="5"/>
  <c r="I923" i="5"/>
  <c r="I924" i="5"/>
  <c r="I925" i="5"/>
  <c r="I920" i="5"/>
  <c r="I921" i="5"/>
  <c r="K919" i="5"/>
  <c r="L919" i="5"/>
  <c r="K921" i="5"/>
  <c r="L921" i="5"/>
  <c r="K920" i="5"/>
  <c r="L920" i="5"/>
  <c r="K925" i="5"/>
  <c r="L925" i="5"/>
  <c r="K924" i="5"/>
  <c r="L924" i="5"/>
  <c r="K926" i="5"/>
  <c r="L926" i="5"/>
  <c r="K927" i="5"/>
  <c r="L927" i="5"/>
  <c r="K928" i="5"/>
  <c r="L928" i="5"/>
  <c r="K929" i="5"/>
  <c r="L929" i="5"/>
  <c r="K930" i="5"/>
  <c r="L930" i="5"/>
  <c r="K923" i="5"/>
  <c r="L923" i="5"/>
  <c r="K922" i="5"/>
  <c r="L922" i="5"/>
  <c r="K917" i="5"/>
  <c r="L917" i="5"/>
  <c r="K916" i="5"/>
  <c r="L916" i="5"/>
  <c r="K915" i="5"/>
  <c r="L915" i="5"/>
  <c r="I934" i="5"/>
  <c r="I935" i="5"/>
  <c r="I940" i="5"/>
  <c r="I939" i="5"/>
  <c r="I874" i="5" l="1"/>
  <c r="I875" i="5"/>
  <c r="K856" i="5"/>
  <c r="L856" i="5"/>
  <c r="K900" i="5"/>
  <c r="L900" i="5"/>
  <c r="K901" i="5"/>
  <c r="L901" i="5"/>
  <c r="K902" i="5"/>
  <c r="L902" i="5"/>
  <c r="K903" i="5"/>
  <c r="L903" i="5"/>
  <c r="K884" i="5"/>
  <c r="L884" i="5"/>
  <c r="K885" i="5"/>
  <c r="L885" i="5"/>
  <c r="K875" i="5"/>
  <c r="L875" i="5"/>
  <c r="K874" i="5"/>
  <c r="L874" i="5"/>
  <c r="K857" i="5"/>
  <c r="L857" i="5"/>
  <c r="K939" i="5"/>
  <c r="L939" i="5"/>
  <c r="K940" i="5"/>
  <c r="L940" i="5"/>
  <c r="K935" i="5"/>
  <c r="L935" i="5"/>
  <c r="K934" i="5"/>
  <c r="L934" i="5"/>
  <c r="K937" i="5"/>
  <c r="L937" i="5"/>
  <c r="K938" i="5"/>
  <c r="L938" i="5"/>
  <c r="K936" i="5"/>
  <c r="L936" i="5"/>
  <c r="I845" i="5"/>
  <c r="I846" i="5"/>
  <c r="K833" i="5"/>
  <c r="L833" i="5"/>
  <c r="K832" i="5"/>
  <c r="L832" i="5"/>
  <c r="K834" i="5"/>
  <c r="L834" i="5"/>
  <c r="K838" i="5"/>
  <c r="L838" i="5"/>
  <c r="K837" i="5"/>
  <c r="L837" i="5"/>
  <c r="K840" i="5"/>
  <c r="L840" i="5"/>
  <c r="K839" i="5"/>
  <c r="L839" i="5"/>
  <c r="K841" i="5"/>
  <c r="L841" i="5"/>
  <c r="K863" i="5"/>
  <c r="L863" i="5"/>
  <c r="K843" i="5"/>
  <c r="L843" i="5"/>
  <c r="K842" i="5"/>
  <c r="L842" i="5"/>
  <c r="K844" i="5"/>
  <c r="L844" i="5"/>
  <c r="K866" i="5"/>
  <c r="L866" i="5"/>
  <c r="K865" i="5"/>
  <c r="L865" i="5"/>
  <c r="K867" i="5"/>
  <c r="L867" i="5"/>
  <c r="K879" i="5"/>
  <c r="L879" i="5"/>
  <c r="K880" i="5"/>
  <c r="L880" i="5"/>
  <c r="K882" i="5"/>
  <c r="L882" i="5"/>
  <c r="K881" i="5"/>
  <c r="L881" i="5"/>
  <c r="K868" i="5"/>
  <c r="L868" i="5"/>
  <c r="K869" i="5"/>
  <c r="L869" i="5"/>
  <c r="K886" i="5"/>
  <c r="L886" i="5"/>
  <c r="K846" i="5"/>
  <c r="L846" i="5"/>
  <c r="K845" i="5"/>
  <c r="L845" i="5"/>
  <c r="K870" i="5"/>
  <c r="L870" i="5"/>
  <c r="K848" i="5"/>
  <c r="L848" i="5"/>
  <c r="K847" i="5"/>
  <c r="L847" i="5"/>
  <c r="K852" i="5"/>
  <c r="L852" i="5"/>
  <c r="K854" i="5"/>
  <c r="L854" i="5"/>
  <c r="K853" i="5"/>
  <c r="L853" i="5"/>
  <c r="K871" i="5"/>
  <c r="L871" i="5"/>
  <c r="K872" i="5"/>
  <c r="L872" i="5"/>
  <c r="K873" i="5"/>
  <c r="L873" i="5"/>
  <c r="K883" i="5"/>
  <c r="L883" i="5"/>
  <c r="K896" i="5"/>
  <c r="L896" i="5"/>
  <c r="K887" i="5"/>
  <c r="L887" i="5"/>
  <c r="K897" i="5"/>
  <c r="L897" i="5"/>
  <c r="K899" i="5"/>
  <c r="L899" i="5"/>
  <c r="K898" i="5"/>
  <c r="L898" i="5"/>
  <c r="K855" i="5"/>
  <c r="L855" i="5"/>
  <c r="K942" i="5"/>
  <c r="L942" i="5"/>
  <c r="K943" i="5"/>
  <c r="L943" i="5"/>
  <c r="K941" i="5"/>
  <c r="L941" i="5"/>
  <c r="K931" i="5"/>
  <c r="L931" i="5"/>
  <c r="K914" i="5"/>
  <c r="L914" i="5"/>
  <c r="L775" i="5" l="1"/>
  <c r="K775" i="5"/>
  <c r="L770" i="5"/>
  <c r="K770" i="5"/>
  <c r="L705" i="5" l="1"/>
  <c r="K705" i="5"/>
  <c r="L706" i="5"/>
  <c r="K706" i="5"/>
  <c r="L717" i="5"/>
  <c r="K717" i="5"/>
  <c r="L718" i="5"/>
  <c r="K718" i="5"/>
  <c r="L695" i="5"/>
  <c r="K695" i="5"/>
  <c r="L697" i="5"/>
  <c r="K697" i="5"/>
  <c r="L696" i="5"/>
  <c r="K696" i="5"/>
  <c r="L694" i="5"/>
  <c r="K694" i="5"/>
  <c r="K643" i="5"/>
  <c r="L643" i="5"/>
  <c r="K645" i="5"/>
  <c r="L645" i="5"/>
  <c r="K644" i="5"/>
  <c r="L644" i="5"/>
  <c r="K641" i="5"/>
  <c r="L641" i="5"/>
  <c r="K642" i="5"/>
  <c r="L642" i="5"/>
  <c r="K646" i="5"/>
  <c r="L646" i="5"/>
  <c r="K649" i="5"/>
  <c r="L649" i="5"/>
  <c r="K648" i="5"/>
  <c r="L648" i="5"/>
  <c r="K647" i="5"/>
  <c r="L647" i="5"/>
  <c r="K655" i="5"/>
  <c r="L655" i="5"/>
  <c r="K657" i="5"/>
  <c r="L657" i="5"/>
  <c r="K656" i="5"/>
  <c r="L656" i="5"/>
  <c r="K659" i="5"/>
  <c r="L659" i="5"/>
  <c r="K661" i="5"/>
  <c r="L661" i="5"/>
  <c r="K650" i="5"/>
  <c r="L650" i="5"/>
  <c r="K660" i="5"/>
  <c r="L660" i="5"/>
  <c r="K658" i="5"/>
  <c r="L658" i="5"/>
  <c r="K652" i="5"/>
  <c r="L652" i="5"/>
  <c r="K653" i="5"/>
  <c r="L653" i="5"/>
  <c r="K654" i="5"/>
  <c r="L654" i="5"/>
  <c r="K662" i="5"/>
  <c r="L662" i="5"/>
  <c r="K651" i="5"/>
  <c r="L651" i="5"/>
  <c r="K664" i="5"/>
  <c r="L664" i="5"/>
  <c r="K666" i="5"/>
  <c r="L666" i="5"/>
  <c r="K669" i="5"/>
  <c r="L669" i="5"/>
  <c r="K667" i="5"/>
  <c r="L667" i="5"/>
  <c r="K668" i="5"/>
  <c r="L668" i="5"/>
  <c r="K670" i="5"/>
  <c r="L670" i="5"/>
  <c r="K671" i="5"/>
  <c r="L671" i="5"/>
  <c r="K663" i="5"/>
  <c r="L663" i="5"/>
  <c r="K672" i="5"/>
  <c r="L672" i="5"/>
  <c r="K673" i="5"/>
  <c r="L673" i="5"/>
  <c r="K674" i="5"/>
  <c r="L674" i="5"/>
  <c r="K675" i="5"/>
  <c r="L675" i="5"/>
  <c r="K678" i="5"/>
  <c r="L678" i="5"/>
  <c r="K679" i="5"/>
  <c r="L679" i="5"/>
  <c r="K677" i="5"/>
  <c r="L677" i="5"/>
  <c r="K676" i="5"/>
  <c r="L676" i="5"/>
  <c r="K681" i="5"/>
  <c r="L681" i="5"/>
  <c r="K680" i="5"/>
  <c r="L680" i="5"/>
  <c r="K682" i="5"/>
  <c r="L682" i="5"/>
  <c r="K684" i="5"/>
  <c r="L684" i="5"/>
  <c r="K683" i="5"/>
  <c r="L683" i="5"/>
  <c r="K685" i="5"/>
  <c r="L685" i="5"/>
  <c r="K686" i="5"/>
  <c r="L686" i="5"/>
  <c r="K687" i="5"/>
  <c r="L687" i="5"/>
  <c r="K688" i="5"/>
  <c r="L688" i="5"/>
  <c r="K691" i="5"/>
  <c r="L691" i="5"/>
  <c r="K693" i="5"/>
  <c r="L693" i="5"/>
  <c r="K692" i="5"/>
  <c r="L692" i="5"/>
  <c r="K690" i="5"/>
  <c r="L690" i="5"/>
  <c r="K689" i="5"/>
  <c r="L689" i="5"/>
  <c r="K698" i="5"/>
  <c r="L698" i="5"/>
  <c r="K700" i="5"/>
  <c r="L700" i="5"/>
  <c r="K701" i="5"/>
  <c r="L701" i="5"/>
  <c r="K703" i="5"/>
  <c r="L703" i="5"/>
  <c r="K702" i="5"/>
  <c r="L702" i="5"/>
  <c r="K711" i="5"/>
  <c r="L711" i="5"/>
  <c r="K739" i="5"/>
  <c r="L739" i="5"/>
  <c r="K712" i="5"/>
  <c r="L712" i="5"/>
  <c r="K738" i="5"/>
  <c r="L738" i="5"/>
  <c r="K737" i="5"/>
  <c r="L737" i="5"/>
  <c r="K736" i="5"/>
  <c r="L736" i="5"/>
  <c r="K735" i="5"/>
  <c r="L735" i="5"/>
  <c r="K734" i="5"/>
  <c r="L734" i="5"/>
  <c r="K733" i="5"/>
  <c r="L733" i="5"/>
  <c r="K732" i="5"/>
  <c r="L732" i="5"/>
  <c r="K731" i="5"/>
  <c r="L731" i="5"/>
  <c r="K730" i="5"/>
  <c r="L730" i="5"/>
  <c r="K729" i="5"/>
  <c r="L729" i="5"/>
  <c r="K728" i="5"/>
  <c r="L728" i="5"/>
  <c r="K727" i="5"/>
  <c r="L727" i="5"/>
  <c r="K726" i="5"/>
  <c r="L726" i="5"/>
  <c r="K725" i="5"/>
  <c r="L725" i="5"/>
  <c r="K724" i="5"/>
  <c r="L724" i="5"/>
  <c r="K723" i="5"/>
  <c r="L723" i="5"/>
  <c r="K722" i="5"/>
  <c r="L722" i="5"/>
  <c r="K721" i="5"/>
  <c r="L721" i="5"/>
  <c r="K720" i="5"/>
  <c r="L720" i="5"/>
  <c r="K719" i="5"/>
  <c r="L719" i="5"/>
  <c r="K716" i="5"/>
  <c r="L716" i="5"/>
  <c r="K715" i="5"/>
  <c r="L715" i="5"/>
  <c r="K714" i="5"/>
  <c r="L714" i="5"/>
  <c r="K713" i="5"/>
  <c r="L713" i="5"/>
  <c r="K710" i="5"/>
  <c r="L710" i="5"/>
  <c r="K709" i="5"/>
  <c r="L709" i="5"/>
  <c r="K708" i="5"/>
  <c r="L708" i="5"/>
  <c r="K707" i="5"/>
  <c r="L707" i="5"/>
  <c r="K704" i="5"/>
  <c r="L704" i="5"/>
  <c r="K740" i="5"/>
  <c r="L740" i="5"/>
  <c r="K741" i="5"/>
  <c r="L741" i="5"/>
  <c r="K665" i="5"/>
  <c r="L665" i="5"/>
  <c r="K743" i="5"/>
  <c r="L743" i="5"/>
  <c r="K742" i="5"/>
  <c r="L742" i="5"/>
  <c r="K744" i="5"/>
  <c r="L744" i="5"/>
  <c r="K745" i="5"/>
  <c r="L745" i="5"/>
  <c r="K747" i="5"/>
  <c r="L747" i="5"/>
  <c r="K746" i="5"/>
  <c r="L746" i="5"/>
  <c r="K748" i="5"/>
  <c r="L748" i="5"/>
  <c r="K750" i="5"/>
  <c r="L750" i="5"/>
  <c r="K640" i="5"/>
  <c r="L640" i="5"/>
  <c r="K752" i="5"/>
  <c r="L752" i="5"/>
  <c r="K755" i="5"/>
  <c r="L755" i="5"/>
  <c r="K754" i="5"/>
  <c r="L754" i="5"/>
  <c r="K753" i="5"/>
  <c r="L753" i="5"/>
  <c r="K749" i="5"/>
  <c r="L749" i="5"/>
  <c r="K757" i="5"/>
  <c r="L757" i="5"/>
  <c r="K756" i="5"/>
  <c r="L756" i="5"/>
  <c r="K758" i="5"/>
  <c r="L758" i="5"/>
  <c r="K759" i="5"/>
  <c r="L759" i="5"/>
  <c r="K760" i="5"/>
  <c r="L760" i="5"/>
  <c r="K764" i="5"/>
  <c r="L764" i="5"/>
  <c r="K766" i="5"/>
  <c r="L766" i="5"/>
  <c r="K765" i="5"/>
  <c r="L765" i="5"/>
  <c r="K761" i="5"/>
  <c r="L761" i="5"/>
  <c r="K763" i="5"/>
  <c r="L763" i="5"/>
  <c r="K762" i="5"/>
  <c r="L762" i="5"/>
  <c r="K768" i="5"/>
  <c r="L768" i="5"/>
  <c r="K774" i="5"/>
  <c r="L774" i="5"/>
  <c r="K772" i="5"/>
  <c r="L772" i="5"/>
  <c r="K771" i="5"/>
  <c r="L771" i="5"/>
  <c r="K773" i="5"/>
  <c r="L773" i="5"/>
  <c r="K776" i="5"/>
  <c r="L776" i="5"/>
  <c r="K777" i="5"/>
  <c r="L777" i="5"/>
  <c r="K778" i="5"/>
  <c r="L778" i="5"/>
  <c r="K779" i="5"/>
  <c r="L779" i="5"/>
  <c r="K780" i="5"/>
  <c r="L780" i="5"/>
  <c r="K783" i="5"/>
  <c r="L783" i="5"/>
  <c r="K782" i="5"/>
  <c r="L782" i="5"/>
  <c r="K791" i="5"/>
  <c r="L791" i="5"/>
  <c r="K786" i="5"/>
  <c r="L786" i="5"/>
  <c r="K785" i="5"/>
  <c r="L785" i="5"/>
  <c r="K787" i="5"/>
  <c r="L787" i="5"/>
  <c r="K789" i="5"/>
  <c r="L789" i="5"/>
  <c r="K788" i="5"/>
  <c r="L788" i="5"/>
  <c r="K790" i="5"/>
  <c r="L790" i="5"/>
  <c r="K800" i="5"/>
  <c r="L800" i="5"/>
  <c r="K796" i="5"/>
  <c r="L796" i="5"/>
  <c r="K797" i="5"/>
  <c r="L797" i="5"/>
  <c r="K798" i="5"/>
  <c r="L798" i="5"/>
  <c r="K799" i="5"/>
  <c r="L799" i="5"/>
  <c r="K781" i="5"/>
  <c r="L781" i="5"/>
  <c r="K795" i="5"/>
  <c r="L795" i="5"/>
  <c r="K794" i="5"/>
  <c r="L794" i="5"/>
  <c r="K792" i="5"/>
  <c r="L792" i="5"/>
  <c r="K793" i="5"/>
  <c r="L793" i="5"/>
  <c r="K801" i="5"/>
  <c r="L801" i="5"/>
  <c r="K802" i="5"/>
  <c r="L802" i="5"/>
  <c r="K888" i="5"/>
  <c r="L888" i="5"/>
  <c r="K890" i="5"/>
  <c r="L890" i="5"/>
  <c r="K889" i="5"/>
  <c r="L889" i="5"/>
  <c r="K804" i="5"/>
  <c r="L804" i="5"/>
  <c r="K803" i="5"/>
  <c r="L803" i="5"/>
  <c r="K806" i="5"/>
  <c r="L806" i="5"/>
  <c r="K807" i="5"/>
  <c r="L807" i="5"/>
  <c r="K805" i="5"/>
  <c r="L805" i="5"/>
  <c r="K809" i="5"/>
  <c r="L809" i="5"/>
  <c r="K808" i="5"/>
  <c r="L808" i="5"/>
  <c r="K812" i="5"/>
  <c r="L812" i="5"/>
  <c r="K811" i="5"/>
  <c r="L811" i="5"/>
  <c r="K813" i="5"/>
  <c r="L813" i="5"/>
  <c r="K810" i="5"/>
  <c r="L810" i="5"/>
  <c r="K814" i="5"/>
  <c r="L814" i="5"/>
  <c r="K815" i="5"/>
  <c r="L815" i="5"/>
  <c r="K816" i="5"/>
  <c r="L816" i="5"/>
  <c r="K817" i="5"/>
  <c r="L817" i="5"/>
  <c r="K818" i="5"/>
  <c r="L818" i="5"/>
  <c r="K819" i="5"/>
  <c r="L819" i="5"/>
  <c r="K820" i="5"/>
  <c r="L820" i="5"/>
  <c r="K892" i="5"/>
  <c r="L892" i="5"/>
  <c r="K893" i="5"/>
  <c r="L893" i="5"/>
  <c r="K891" i="5"/>
  <c r="L891" i="5"/>
  <c r="K895" i="5"/>
  <c r="L895" i="5"/>
  <c r="K894" i="5"/>
  <c r="L894" i="5"/>
  <c r="K858" i="5"/>
  <c r="L858" i="5"/>
  <c r="K876" i="5"/>
  <c r="L876" i="5"/>
  <c r="K859" i="5"/>
  <c r="L859" i="5"/>
  <c r="K824" i="5"/>
  <c r="L824" i="5"/>
  <c r="K823" i="5"/>
  <c r="L823" i="5"/>
  <c r="K826" i="5"/>
  <c r="L826" i="5"/>
  <c r="K825" i="5"/>
  <c r="L825" i="5"/>
  <c r="K831" i="5"/>
  <c r="L831" i="5"/>
  <c r="K827" i="5"/>
  <c r="L827" i="5"/>
  <c r="K911" i="5"/>
  <c r="L911" i="5"/>
  <c r="K910" i="5"/>
  <c r="L910" i="5"/>
  <c r="K908" i="5"/>
  <c r="L908" i="5"/>
  <c r="K909" i="5"/>
  <c r="L909" i="5"/>
  <c r="K907" i="5"/>
  <c r="L907" i="5"/>
  <c r="K906" i="5"/>
  <c r="L906" i="5"/>
  <c r="K861" i="5"/>
  <c r="L861" i="5"/>
  <c r="K860" i="5"/>
  <c r="L860" i="5"/>
  <c r="K828" i="5"/>
  <c r="L828" i="5"/>
  <c r="K877" i="5"/>
  <c r="L877" i="5"/>
  <c r="K830" i="5"/>
  <c r="L830" i="5"/>
  <c r="K829" i="5"/>
  <c r="L829" i="5"/>
  <c r="K878" i="5"/>
  <c r="L878" i="5"/>
  <c r="K862" i="5"/>
  <c r="L862" i="5"/>
  <c r="K836" i="5"/>
  <c r="L836" i="5"/>
  <c r="K835" i="5"/>
  <c r="L835" i="5"/>
  <c r="K905" i="5"/>
  <c r="L905" i="5"/>
  <c r="K904" i="5"/>
  <c r="L904" i="5"/>
  <c r="L139" i="5"/>
  <c r="K139" i="5"/>
  <c r="I139" i="5"/>
  <c r="K495" i="5" l="1"/>
  <c r="L495" i="5"/>
  <c r="K637" i="5" l="1"/>
  <c r="L637" i="5"/>
  <c r="K639" i="5"/>
  <c r="L639" i="5"/>
  <c r="L595" i="5" l="1"/>
  <c r="K595" i="5"/>
  <c r="L423" i="5" l="1"/>
  <c r="K423" i="5"/>
  <c r="L597" i="5"/>
  <c r="K597" i="5"/>
  <c r="L591" i="5"/>
  <c r="K591" i="5"/>
  <c r="K598" i="5"/>
  <c r="L598" i="5"/>
  <c r="K593" i="5"/>
  <c r="L593" i="5"/>
  <c r="K596" i="5"/>
  <c r="L596" i="5"/>
  <c r="K599" i="5"/>
  <c r="L599" i="5"/>
  <c r="K600" i="5"/>
  <c r="L600" i="5"/>
  <c r="K594" i="5"/>
  <c r="L594" i="5"/>
  <c r="K601" i="5"/>
  <c r="L601" i="5"/>
  <c r="K602" i="5"/>
  <c r="L602" i="5"/>
  <c r="K603" i="5"/>
  <c r="L603" i="5"/>
  <c r="K604" i="5"/>
  <c r="L604" i="5"/>
  <c r="K605" i="5"/>
  <c r="L605" i="5"/>
  <c r="K606" i="5"/>
  <c r="L606" i="5"/>
  <c r="K607" i="5"/>
  <c r="L607" i="5"/>
  <c r="K609" i="5"/>
  <c r="L609" i="5"/>
  <c r="K608" i="5"/>
  <c r="L608" i="5"/>
  <c r="K611" i="5"/>
  <c r="L611" i="5"/>
  <c r="K610" i="5"/>
  <c r="L610" i="5"/>
  <c r="K612" i="5"/>
  <c r="L612" i="5"/>
  <c r="K613" i="5"/>
  <c r="L613" i="5"/>
  <c r="K621" i="5"/>
  <c r="L621" i="5"/>
  <c r="K619" i="5"/>
  <c r="L619" i="5"/>
  <c r="K614" i="5"/>
  <c r="L614" i="5"/>
  <c r="K616" i="5"/>
  <c r="L616" i="5"/>
  <c r="K618" i="5"/>
  <c r="L618" i="5"/>
  <c r="K620" i="5"/>
  <c r="L620" i="5"/>
  <c r="K615" i="5"/>
  <c r="L615" i="5"/>
  <c r="K617" i="5"/>
  <c r="L617" i="5"/>
  <c r="K622" i="5"/>
  <c r="L622" i="5"/>
  <c r="K625" i="5"/>
  <c r="L625" i="5"/>
  <c r="K623" i="5"/>
  <c r="L623" i="5"/>
  <c r="K632" i="5"/>
  <c r="L632" i="5"/>
  <c r="K633" i="5"/>
  <c r="L633" i="5"/>
  <c r="K635" i="5"/>
  <c r="L635" i="5"/>
  <c r="K636" i="5"/>
  <c r="L636" i="5"/>
  <c r="K631" i="5"/>
  <c r="L631" i="5"/>
  <c r="K630" i="5"/>
  <c r="L630" i="5"/>
  <c r="K627" i="5"/>
  <c r="L627" i="5"/>
  <c r="K629" i="5"/>
  <c r="L629" i="5"/>
  <c r="K628" i="5"/>
  <c r="L628" i="5"/>
  <c r="K634" i="5"/>
  <c r="L634" i="5"/>
  <c r="K626" i="5"/>
  <c r="L626" i="5"/>
  <c r="K624" i="5"/>
  <c r="L624" i="5"/>
  <c r="L95" i="5"/>
  <c r="K95" i="5"/>
  <c r="K638" i="5"/>
  <c r="L638" i="5"/>
  <c r="K583" i="5" l="1"/>
  <c r="L583" i="5"/>
  <c r="K584" i="5"/>
  <c r="L584" i="5"/>
  <c r="K585" i="5"/>
  <c r="L585" i="5"/>
  <c r="K569" i="5"/>
  <c r="L569" i="5"/>
  <c r="K562" i="5"/>
  <c r="L562" i="5"/>
  <c r="K582" i="5"/>
  <c r="L582" i="5"/>
  <c r="K586" i="5"/>
  <c r="L586" i="5"/>
  <c r="K588" i="5"/>
  <c r="L588" i="5"/>
  <c r="K589" i="5"/>
  <c r="L589" i="5"/>
  <c r="K590" i="5"/>
  <c r="L590" i="5"/>
  <c r="K587" i="5"/>
  <c r="L587" i="5"/>
  <c r="K592" i="5"/>
  <c r="L592" i="5"/>
  <c r="L572" i="5"/>
  <c r="K572" i="5"/>
  <c r="K576" i="5"/>
  <c r="K581" i="5"/>
  <c r="K578" i="5"/>
  <c r="K579" i="5"/>
  <c r="K580" i="5"/>
  <c r="K577" i="5"/>
  <c r="K575" i="5"/>
  <c r="K574" i="5"/>
  <c r="K573" i="5"/>
  <c r="K571" i="5"/>
  <c r="K570" i="5"/>
  <c r="L570" i="5"/>
  <c r="L571" i="5"/>
  <c r="L573" i="5"/>
  <c r="L574" i="5"/>
  <c r="L575" i="5"/>
  <c r="L577" i="5"/>
  <c r="L580" i="5"/>
  <c r="L579" i="5"/>
  <c r="L578" i="5"/>
  <c r="L581" i="5"/>
  <c r="L576" i="5"/>
  <c r="L566" i="5"/>
  <c r="K566" i="5"/>
  <c r="L567" i="5"/>
  <c r="K567" i="5"/>
  <c r="K568" i="5"/>
  <c r="L568" i="5"/>
  <c r="K565" i="5"/>
  <c r="L565" i="5"/>
  <c r="K524" i="5"/>
  <c r="L524" i="5"/>
  <c r="K545" i="5"/>
  <c r="L545" i="5"/>
  <c r="K552" i="5"/>
  <c r="L552" i="5"/>
  <c r="K551" i="5"/>
  <c r="L551" i="5"/>
  <c r="K531" i="5"/>
  <c r="L531" i="5"/>
  <c r="K557" i="5"/>
  <c r="L557" i="5"/>
  <c r="K540" i="5"/>
  <c r="L540" i="5"/>
  <c r="K564" i="5"/>
  <c r="L564" i="5"/>
  <c r="K539" i="5"/>
  <c r="L539" i="5"/>
  <c r="K541" i="5"/>
  <c r="L541" i="5"/>
  <c r="K527" i="5"/>
  <c r="L527" i="5"/>
  <c r="K533" i="5"/>
  <c r="L533" i="5"/>
  <c r="K543" i="5"/>
  <c r="L543" i="5"/>
  <c r="K550" i="5"/>
  <c r="L550" i="5"/>
  <c r="K547" i="5"/>
  <c r="L547" i="5"/>
  <c r="K546" i="5"/>
  <c r="L546" i="5"/>
  <c r="K535" i="5"/>
  <c r="L535" i="5"/>
  <c r="K534" i="5"/>
  <c r="L534" i="5"/>
  <c r="K549" i="5"/>
  <c r="L549" i="5"/>
  <c r="K563" i="5"/>
  <c r="L563" i="5"/>
  <c r="K558" i="5"/>
  <c r="L558" i="5"/>
  <c r="K559" i="5"/>
  <c r="L559" i="5"/>
  <c r="K529" i="5"/>
  <c r="L529" i="5"/>
  <c r="K530" i="5"/>
  <c r="L530" i="5"/>
  <c r="K528" i="5"/>
  <c r="L528" i="5"/>
  <c r="K532" i="5"/>
  <c r="L532" i="5"/>
  <c r="K538" i="5"/>
  <c r="L538" i="5"/>
  <c r="K537" i="5"/>
  <c r="L537" i="5"/>
  <c r="K553" i="5"/>
  <c r="L553" i="5"/>
  <c r="K560" i="5"/>
  <c r="L560" i="5"/>
  <c r="K548" i="5"/>
  <c r="L548" i="5"/>
  <c r="K536" i="5"/>
  <c r="L536" i="5"/>
  <c r="K526" i="5"/>
  <c r="L526" i="5"/>
  <c r="K525" i="5"/>
  <c r="L525" i="5"/>
  <c r="K554" i="5"/>
  <c r="L554" i="5"/>
  <c r="K555" i="5"/>
  <c r="L555" i="5"/>
  <c r="K556" i="5"/>
  <c r="L556" i="5"/>
  <c r="K561" i="5"/>
  <c r="L561" i="5"/>
  <c r="K544" i="5"/>
  <c r="L544" i="5"/>
  <c r="K542" i="5"/>
  <c r="L542" i="5"/>
  <c r="L186" i="5"/>
  <c r="K186" i="5"/>
  <c r="K222" i="5"/>
  <c r="L222" i="5"/>
  <c r="L204" i="5" l="1"/>
  <c r="K204" i="5"/>
  <c r="K196" i="5"/>
  <c r="K225" i="5"/>
  <c r="L196" i="5"/>
  <c r="L225" i="5"/>
  <c r="K25" i="5" l="1"/>
  <c r="L25" i="5"/>
  <c r="K57" i="5"/>
  <c r="L57" i="5"/>
  <c r="K52" i="5"/>
  <c r="L52" i="5"/>
  <c r="K41" i="5"/>
  <c r="L41" i="5"/>
  <c r="K162" i="5"/>
  <c r="L162" i="5"/>
  <c r="K166" i="5"/>
  <c r="L166" i="5"/>
  <c r="K194" i="5"/>
  <c r="L194" i="5"/>
  <c r="K188" i="5"/>
  <c r="L188" i="5"/>
  <c r="K96" i="5"/>
  <c r="K143" i="5"/>
  <c r="K144" i="5"/>
  <c r="K145" i="5"/>
  <c r="K146" i="5"/>
  <c r="K100" i="5"/>
  <c r="K152" i="5"/>
  <c r="K153" i="5"/>
  <c r="K154" i="5"/>
  <c r="K155" i="5"/>
  <c r="K158" i="5"/>
  <c r="K202" i="5"/>
  <c r="K299" i="5"/>
  <c r="K218" i="5"/>
  <c r="K205" i="5"/>
  <c r="K375" i="5"/>
  <c r="K351" i="5"/>
  <c r="K260" i="5"/>
  <c r="K264" i="5"/>
  <c r="K252" i="5"/>
  <c r="K235" i="5"/>
  <c r="K236" i="5"/>
  <c r="K427" i="5"/>
  <c r="K486" i="5"/>
  <c r="K476" i="5"/>
  <c r="K497" i="5"/>
  <c r="K519" i="5"/>
  <c r="L96" i="5"/>
  <c r="L143" i="5"/>
  <c r="L144" i="5"/>
  <c r="L145" i="5"/>
  <c r="L146" i="5"/>
  <c r="L100" i="5"/>
  <c r="L152" i="5"/>
  <c r="L153" i="5"/>
  <c r="L154" i="5"/>
  <c r="L155" i="5"/>
  <c r="L158" i="5"/>
  <c r="L202" i="5"/>
  <c r="L299" i="5"/>
  <c r="L218" i="5"/>
  <c r="L205" i="5"/>
  <c r="L375" i="5"/>
  <c r="L351" i="5"/>
  <c r="L260" i="5"/>
  <c r="L264" i="5"/>
  <c r="L252" i="5"/>
  <c r="L235" i="5"/>
  <c r="L236" i="5"/>
  <c r="L427" i="5"/>
  <c r="L486" i="5"/>
  <c r="L476" i="5"/>
  <c r="L497" i="5"/>
  <c r="L519" i="5"/>
  <c r="K19" i="5"/>
  <c r="L19" i="5"/>
  <c r="K189" i="5"/>
  <c r="L189" i="5"/>
  <c r="K359" i="5"/>
  <c r="L359" i="5"/>
  <c r="K76" i="5"/>
  <c r="L76" i="5"/>
  <c r="K18" i="5"/>
  <c r="L18" i="5"/>
  <c r="K14" i="5"/>
  <c r="L14" i="5"/>
  <c r="K92" i="5"/>
  <c r="L92" i="5"/>
  <c r="K97" i="5"/>
  <c r="L97" i="5"/>
  <c r="K98" i="5"/>
  <c r="L98" i="5"/>
  <c r="K99" i="5"/>
  <c r="L99" i="5"/>
  <c r="K102" i="5"/>
  <c r="L102" i="5"/>
  <c r="K180" i="5"/>
  <c r="L180" i="5"/>
  <c r="K388" i="5"/>
  <c r="L388" i="5"/>
  <c r="K391" i="5"/>
  <c r="L391" i="5"/>
  <c r="K413" i="5"/>
  <c r="L413" i="5"/>
  <c r="K272" i="5"/>
  <c r="L272" i="5"/>
  <c r="K428" i="5"/>
  <c r="L428" i="5"/>
  <c r="K298" i="5"/>
  <c r="L298" i="5"/>
  <c r="K479" i="5"/>
  <c r="L479" i="5"/>
  <c r="K523" i="5"/>
  <c r="L523" i="5"/>
  <c r="K464" i="5"/>
  <c r="L464" i="5"/>
  <c r="K445" i="5"/>
  <c r="L445" i="5"/>
  <c r="K494" i="5"/>
  <c r="L494" i="5"/>
  <c r="K442" i="5"/>
  <c r="L442" i="5"/>
  <c r="K226" i="5"/>
  <c r="L226" i="5"/>
  <c r="K253" i="5"/>
  <c r="L253" i="5"/>
  <c r="K17" i="5"/>
  <c r="L17" i="5"/>
  <c r="K377" i="5"/>
  <c r="L377" i="5"/>
  <c r="K23" i="5"/>
  <c r="L23" i="5"/>
  <c r="K26" i="5"/>
  <c r="L26" i="5"/>
  <c r="K376" i="5"/>
  <c r="L376" i="5"/>
  <c r="K286" i="5"/>
  <c r="L286" i="5"/>
  <c r="K101" i="5"/>
  <c r="L101" i="5"/>
  <c r="K380" i="5"/>
  <c r="L380" i="5"/>
  <c r="K393" i="5"/>
  <c r="L393" i="5"/>
  <c r="K498" i="5"/>
  <c r="L498" i="5"/>
  <c r="K362" i="5"/>
  <c r="L362" i="5"/>
  <c r="K67" i="5"/>
  <c r="L67" i="5"/>
  <c r="K58" i="5"/>
  <c r="L58" i="5"/>
  <c r="K12" i="5"/>
  <c r="L12" i="5"/>
  <c r="K78" i="5"/>
  <c r="L78" i="5"/>
  <c r="K215" i="5"/>
  <c r="L215" i="5"/>
  <c r="K51" i="5"/>
  <c r="L51" i="5"/>
  <c r="K54" i="5"/>
  <c r="L54" i="5"/>
  <c r="K94" i="5"/>
  <c r="L94" i="5"/>
  <c r="K183" i="5"/>
  <c r="L183" i="5"/>
  <c r="L207" i="5"/>
  <c r="L465" i="5"/>
  <c r="L522" i="5"/>
  <c r="L468" i="5"/>
  <c r="L469" i="5"/>
  <c r="L474" i="5"/>
  <c r="L314" i="5"/>
  <c r="L4" i="5"/>
  <c r="L15" i="5"/>
  <c r="L224" i="5"/>
  <c r="L237" i="5"/>
  <c r="L355" i="5"/>
  <c r="L108" i="5"/>
  <c r="L130" i="5"/>
  <c r="L492" i="5"/>
  <c r="L493" i="5"/>
  <c r="L424" i="5"/>
  <c r="L386" i="5"/>
  <c r="L227" i="5"/>
  <c r="L220" i="5"/>
  <c r="L221" i="5"/>
  <c r="L247" i="5"/>
  <c r="L408" i="5"/>
  <c r="L36" i="5"/>
  <c r="L119" i="5"/>
  <c r="L398" i="5"/>
  <c r="L503" i="5"/>
  <c r="L148" i="5"/>
  <c r="L431" i="5"/>
  <c r="L433" i="5"/>
  <c r="L357" i="5"/>
  <c r="L241" i="5"/>
  <c r="L243" i="5"/>
  <c r="L309" i="5"/>
  <c r="L311" i="5"/>
  <c r="L8" i="5"/>
  <c r="L10" i="5"/>
  <c r="L65" i="5"/>
  <c r="L190" i="5"/>
  <c r="L372" i="5"/>
  <c r="L219" i="5"/>
  <c r="L456" i="5"/>
  <c r="L482" i="5"/>
  <c r="L470" i="5"/>
  <c r="L461" i="5"/>
  <c r="L201" i="5"/>
  <c r="L448" i="5"/>
  <c r="L191" i="5"/>
  <c r="L432" i="5"/>
  <c r="L434" i="5"/>
  <c r="L358" i="5"/>
  <c r="L401" i="5"/>
  <c r="L230" i="5"/>
  <c r="L242" i="5"/>
  <c r="L244" i="5"/>
  <c r="L310" i="5"/>
  <c r="L312" i="5"/>
  <c r="L389" i="5"/>
  <c r="L462" i="5"/>
  <c r="L472" i="5"/>
  <c r="L203" i="5"/>
  <c r="L512" i="5"/>
  <c r="L77" i="5"/>
  <c r="L48" i="5"/>
  <c r="L47" i="5"/>
  <c r="L240" i="5"/>
  <c r="L289" i="5"/>
  <c r="L291" i="5"/>
  <c r="L269" i="5"/>
  <c r="L328" i="5"/>
  <c r="L450" i="5"/>
  <c r="L491" i="5"/>
  <c r="L37" i="5"/>
  <c r="L171" i="5"/>
  <c r="L134" i="5"/>
  <c r="L303" i="5"/>
  <c r="L451" i="5"/>
  <c r="L93" i="5"/>
  <c r="L121" i="5"/>
  <c r="L294" i="5"/>
  <c r="L337" i="5"/>
  <c r="L443" i="5"/>
  <c r="L440" i="5"/>
  <c r="L49" i="5"/>
  <c r="L123" i="5"/>
  <c r="L127" i="5"/>
  <c r="L348" i="5"/>
  <c r="L349" i="5"/>
  <c r="L350" i="5"/>
  <c r="L347" i="5"/>
  <c r="L439" i="5"/>
  <c r="L438" i="5"/>
  <c r="L138" i="5"/>
  <c r="L436" i="5"/>
  <c r="L27" i="5"/>
  <c r="L29" i="5"/>
  <c r="L517" i="5"/>
  <c r="L518" i="5"/>
  <c r="L520" i="5"/>
  <c r="L420" i="5"/>
  <c r="L112" i="5"/>
  <c r="L287" i="5"/>
  <c r="L313" i="5"/>
  <c r="L255" i="5"/>
  <c r="L418" i="5"/>
  <c r="L284" i="5"/>
  <c r="L263" i="5"/>
  <c r="L265" i="5"/>
  <c r="L382" i="5"/>
  <c r="L282" i="5"/>
  <c r="L115" i="5"/>
  <c r="L149" i="5"/>
  <c r="L383" i="5"/>
  <c r="L403" i="5"/>
  <c r="L422" i="5"/>
  <c r="L214" i="5"/>
  <c r="L42" i="5"/>
  <c r="L63" i="5"/>
  <c r="L73" i="5"/>
  <c r="L285" i="5"/>
  <c r="L301" i="5"/>
  <c r="L369" i="5"/>
  <c r="L354" i="5"/>
  <c r="L327" i="5"/>
  <c r="L330" i="5"/>
  <c r="L259" i="5"/>
  <c r="L426" i="5"/>
  <c r="L507" i="5"/>
  <c r="L295" i="5"/>
  <c r="L338" i="5"/>
  <c r="L453" i="5"/>
  <c r="L489" i="5"/>
  <c r="L502" i="5"/>
  <c r="L131" i="5"/>
  <c r="L61" i="5"/>
  <c r="L113" i="5"/>
  <c r="L174" i="5"/>
  <c r="L208" i="5"/>
  <c r="L7" i="5"/>
  <c r="L395" i="5"/>
  <c r="L274" i="5"/>
  <c r="L275" i="5"/>
  <c r="L280" i="5"/>
  <c r="L281" i="5"/>
  <c r="L471" i="5"/>
  <c r="L83" i="5"/>
  <c r="L84" i="5"/>
  <c r="L103" i="5"/>
  <c r="L238" i="5"/>
  <c r="L271" i="5"/>
  <c r="L276" i="5"/>
  <c r="L278" i="5"/>
  <c r="L22" i="5"/>
  <c r="L182" i="5"/>
  <c r="L33" i="5"/>
  <c r="L60" i="5"/>
  <c r="L163" i="5"/>
  <c r="L181" i="5"/>
  <c r="L209" i="5"/>
  <c r="L223" i="5"/>
  <c r="L384" i="5"/>
  <c r="L425" i="5"/>
  <c r="L367" i="5"/>
  <c r="L449" i="5"/>
  <c r="L484" i="5"/>
  <c r="L483" i="5"/>
  <c r="L457" i="5"/>
  <c r="L514" i="5"/>
  <c r="L160" i="5"/>
  <c r="L184" i="5"/>
  <c r="L475" i="5"/>
  <c r="L501" i="5"/>
  <c r="L136" i="5"/>
  <c r="L331" i="5"/>
  <c r="L333" i="5"/>
  <c r="L335" i="5"/>
  <c r="L378" i="5"/>
  <c r="L24" i="5"/>
  <c r="L515" i="5"/>
  <c r="L277" i="5"/>
  <c r="L279" i="5"/>
  <c r="L257" i="5"/>
  <c r="L5" i="5"/>
  <c r="L28" i="5"/>
  <c r="L176" i="5"/>
  <c r="L178" i="5"/>
  <c r="L352" i="5"/>
  <c r="L231" i="5"/>
  <c r="L232" i="5"/>
  <c r="L40" i="5"/>
  <c r="L341" i="5"/>
  <c r="L385" i="5"/>
  <c r="L368" i="5"/>
  <c r="L306" i="5"/>
  <c r="L321" i="5"/>
  <c r="L13" i="5"/>
  <c r="L44" i="5"/>
  <c r="L66" i="5"/>
  <c r="L75" i="5"/>
  <c r="L360" i="5"/>
  <c r="L411" i="5"/>
  <c r="L416" i="5"/>
  <c r="L414" i="5"/>
  <c r="L72" i="5"/>
  <c r="L142" i="5"/>
  <c r="L68" i="5"/>
  <c r="L70" i="5"/>
  <c r="L339" i="5"/>
  <c r="L343" i="5"/>
  <c r="L454" i="5"/>
  <c r="L490" i="5"/>
  <c r="L478" i="5"/>
  <c r="L499" i="5"/>
  <c r="L500" i="5"/>
  <c r="L516" i="5"/>
  <c r="L409" i="5"/>
  <c r="L467" i="5"/>
  <c r="L446" i="5"/>
  <c r="L481" i="5"/>
  <c r="L69" i="5"/>
  <c r="L71" i="5"/>
  <c r="L447" i="5"/>
  <c r="L307" i="5"/>
  <c r="L316" i="5"/>
  <c r="L322" i="5"/>
  <c r="L30" i="5"/>
  <c r="L31" i="5"/>
  <c r="L50" i="5"/>
  <c r="L364" i="5"/>
  <c r="L325" i="5"/>
  <c r="L268" i="5"/>
  <c r="L210" i="5"/>
  <c r="L212" i="5"/>
  <c r="L296" i="5"/>
  <c r="L297" i="5"/>
  <c r="L332" i="5"/>
  <c r="L334" i="5"/>
  <c r="L336" i="5"/>
  <c r="L379" i="5"/>
  <c r="L137" i="5"/>
  <c r="L387" i="5"/>
  <c r="L177" i="5"/>
  <c r="L412" i="5"/>
  <c r="L417" i="5"/>
  <c r="L415" i="5"/>
  <c r="L513" i="5"/>
  <c r="L79" i="5"/>
  <c r="L81" i="5"/>
  <c r="L381" i="5"/>
  <c r="L104" i="5"/>
  <c r="L105" i="5"/>
  <c r="L114" i="5"/>
  <c r="L122" i="5"/>
  <c r="L124" i="5"/>
  <c r="L125" i="5"/>
  <c r="L508" i="5"/>
  <c r="L38" i="5"/>
  <c r="L172" i="5"/>
  <c r="L135" i="5"/>
  <c r="L353" i="5"/>
  <c r="L304" i="5"/>
  <c r="L308" i="5"/>
  <c r="L323" i="5"/>
  <c r="L261" i="5"/>
  <c r="L402" i="5"/>
  <c r="L216" i="5"/>
  <c r="L217" i="5"/>
  <c r="L267" i="5"/>
  <c r="L273" i="5"/>
  <c r="L43" i="5"/>
  <c r="L167" i="5"/>
  <c r="L170" i="5"/>
  <c r="L179" i="5"/>
  <c r="L370" i="5"/>
  <c r="L371" i="5"/>
  <c r="L340" i="5"/>
  <c r="L140" i="5"/>
  <c r="L195" i="5"/>
  <c r="L373" i="5"/>
  <c r="L399" i="5"/>
  <c r="L305" i="5"/>
  <c r="L356" i="5"/>
  <c r="L504" i="5"/>
  <c r="L444" i="5"/>
  <c r="L441" i="5"/>
  <c r="L62" i="5"/>
  <c r="L169" i="5"/>
  <c r="L159" i="5"/>
  <c r="L2" i="5"/>
  <c r="L11" i="5"/>
  <c r="L32" i="5"/>
  <c r="L45" i="5"/>
  <c r="L161" i="5"/>
  <c r="L164" i="5"/>
  <c r="L198" i="5"/>
  <c r="L213" i="5"/>
  <c r="L509" i="5"/>
  <c r="L173" i="5"/>
  <c r="L53" i="5"/>
  <c r="L421" i="5"/>
  <c r="L262" i="5"/>
  <c r="L318" i="5"/>
  <c r="L342" i="5"/>
  <c r="L506" i="5"/>
  <c r="L460" i="5"/>
  <c r="L141" i="5"/>
  <c r="L147" i="5"/>
  <c r="L150" i="5"/>
  <c r="L151" i="5"/>
  <c r="L156" i="5"/>
  <c r="L157" i="5"/>
  <c r="L390" i="5"/>
  <c r="L326" i="5"/>
  <c r="L404" i="5"/>
  <c r="L9" i="5"/>
  <c r="L16" i="5"/>
  <c r="L39" i="5"/>
  <c r="L35" i="5"/>
  <c r="L56" i="5"/>
  <c r="L55" i="5"/>
  <c r="L168" i="5"/>
  <c r="L430" i="5"/>
  <c r="L419" i="5"/>
  <c r="L165" i="5"/>
  <c r="L245" i="5"/>
  <c r="L6" i="5"/>
  <c r="L80" i="5"/>
  <c r="L82" i="5"/>
  <c r="L85" i="5"/>
  <c r="L86" i="5"/>
  <c r="L87" i="5"/>
  <c r="L88" i="5"/>
  <c r="L89" i="5"/>
  <c r="L90" i="5"/>
  <c r="L91" i="5"/>
  <c r="L128" i="5"/>
  <c r="L129" i="5"/>
  <c r="L487" i="5"/>
  <c r="L109" i="5"/>
  <c r="L126" i="5"/>
  <c r="L234" i="5"/>
  <c r="L315" i="5"/>
  <c r="L345" i="5"/>
  <c r="L463" i="5"/>
  <c r="L473" i="5"/>
  <c r="L521" i="5"/>
  <c r="L365" i="5"/>
  <c r="L366" i="5"/>
  <c r="L120" i="5"/>
  <c r="L397" i="5"/>
  <c r="L302" i="5"/>
  <c r="L396" i="5"/>
  <c r="L107" i="5"/>
  <c r="L320" i="5"/>
  <c r="L407" i="5"/>
  <c r="L505" i="5"/>
  <c r="L74" i="5"/>
  <c r="L106" i="5"/>
  <c r="L110" i="5"/>
  <c r="L111" i="5"/>
  <c r="L392" i="5"/>
  <c r="L193" i="5"/>
  <c r="L410" i="5"/>
  <c r="L116" i="5"/>
  <c r="L363" i="5"/>
  <c r="L283" i="5"/>
  <c r="L266" i="5"/>
  <c r="L270" i="5"/>
  <c r="L511" i="5"/>
  <c r="L496" i="5"/>
  <c r="L329" i="5"/>
  <c r="L361" i="5"/>
  <c r="L317" i="5"/>
  <c r="L46" i="5"/>
  <c r="L64" i="5"/>
  <c r="L324" i="5"/>
  <c r="L455" i="5"/>
  <c r="L458" i="5"/>
  <c r="L459" i="5"/>
  <c r="L480" i="5"/>
  <c r="L293" i="5"/>
  <c r="L405" i="5"/>
  <c r="L406" i="5"/>
  <c r="L466" i="5"/>
  <c r="L254" i="5"/>
  <c r="L256" i="5"/>
  <c r="L258" i="5"/>
  <c r="L435" i="5"/>
  <c r="L452" i="5"/>
  <c r="L175" i="5"/>
  <c r="L346" i="5"/>
  <c r="L510" i="5"/>
  <c r="L132" i="5"/>
  <c r="L117" i="5"/>
  <c r="L118" i="5"/>
  <c r="L187" i="5"/>
  <c r="L292" i="5"/>
  <c r="L319" i="5"/>
  <c r="L344" i="5"/>
  <c r="L374" i="5"/>
  <c r="L400" i="5"/>
  <c r="L211" i="5"/>
  <c r="L3" i="5"/>
  <c r="L185" i="5"/>
  <c r="L199" i="5"/>
  <c r="L200" i="5"/>
  <c r="L437" i="5"/>
  <c r="L133" i="5"/>
  <c r="L239" i="5"/>
  <c r="L197" i="5"/>
  <c r="L34" i="5"/>
  <c r="L300" i="5"/>
  <c r="L228" i="5"/>
  <c r="L229" i="5"/>
  <c r="L246" i="5"/>
  <c r="L248" i="5"/>
  <c r="L251" i="5"/>
  <c r="L394" i="5"/>
  <c r="L206" i="5"/>
  <c r="L20" i="5"/>
  <c r="L429" i="5"/>
  <c r="L233" i="5"/>
  <c r="L250" i="5"/>
  <c r="L59" i="5"/>
  <c r="L488" i="5"/>
  <c r="L485" i="5"/>
  <c r="L192" i="5"/>
  <c r="L249" i="5"/>
  <c r="L477" i="5"/>
  <c r="L288" i="5"/>
  <c r="L290" i="5"/>
  <c r="K207" i="5"/>
  <c r="K465" i="5"/>
  <c r="K522" i="5"/>
  <c r="K468" i="5"/>
  <c r="K469" i="5"/>
  <c r="K474" i="5"/>
  <c r="K314" i="5"/>
  <c r="K4" i="5"/>
  <c r="K15" i="5"/>
  <c r="K224" i="5"/>
  <c r="K237" i="5"/>
  <c r="K355" i="5"/>
  <c r="K108" i="5"/>
  <c r="K130" i="5"/>
  <c r="K492" i="5"/>
  <c r="K493" i="5"/>
  <c r="K424" i="5"/>
  <c r="K386" i="5"/>
  <c r="K227" i="5"/>
  <c r="K220" i="5"/>
  <c r="K221" i="5"/>
  <c r="K247" i="5"/>
  <c r="K408" i="5"/>
  <c r="K36" i="5"/>
  <c r="K119" i="5"/>
  <c r="K398" i="5"/>
  <c r="K503" i="5"/>
  <c r="K148" i="5"/>
  <c r="K431" i="5"/>
  <c r="K433" i="5"/>
  <c r="K357" i="5"/>
  <c r="K241" i="5"/>
  <c r="K243" i="5"/>
  <c r="K309" i="5"/>
  <c r="K311" i="5"/>
  <c r="K8" i="5"/>
  <c r="K10" i="5"/>
  <c r="K65" i="5"/>
  <c r="K190" i="5"/>
  <c r="K372" i="5"/>
  <c r="K219" i="5"/>
  <c r="K456" i="5"/>
  <c r="K482" i="5"/>
  <c r="K470" i="5"/>
  <c r="K461" i="5"/>
  <c r="K201" i="5"/>
  <c r="K448" i="5"/>
  <c r="K191" i="5"/>
  <c r="K432" i="5"/>
  <c r="K434" i="5"/>
  <c r="K358" i="5"/>
  <c r="K401" i="5"/>
  <c r="K230" i="5"/>
  <c r="K242" i="5"/>
  <c r="K244" i="5"/>
  <c r="K310" i="5"/>
  <c r="K312" i="5"/>
  <c r="K389" i="5"/>
  <c r="K462" i="5"/>
  <c r="K472" i="5"/>
  <c r="K203" i="5"/>
  <c r="K512" i="5"/>
  <c r="K77" i="5"/>
  <c r="K48" i="5"/>
  <c r="K47" i="5"/>
  <c r="K240" i="5"/>
  <c r="K289" i="5"/>
  <c r="K291" i="5"/>
  <c r="K269" i="5"/>
  <c r="K328" i="5"/>
  <c r="K450" i="5"/>
  <c r="K491" i="5"/>
  <c r="K37" i="5"/>
  <c r="K171" i="5"/>
  <c r="K134" i="5"/>
  <c r="K303" i="5"/>
  <c r="K451" i="5"/>
  <c r="K93" i="5"/>
  <c r="K121" i="5"/>
  <c r="K294" i="5"/>
  <c r="K337" i="5"/>
  <c r="K443" i="5"/>
  <c r="K440" i="5"/>
  <c r="K49" i="5"/>
  <c r="K123" i="5"/>
  <c r="K127" i="5"/>
  <c r="K348" i="5"/>
  <c r="K349" i="5"/>
  <c r="K350" i="5"/>
  <c r="K347" i="5"/>
  <c r="K439" i="5"/>
  <c r="K438" i="5"/>
  <c r="K138" i="5"/>
  <c r="K436" i="5"/>
  <c r="K27" i="5"/>
  <c r="K29" i="5"/>
  <c r="K517" i="5"/>
  <c r="K518" i="5"/>
  <c r="K520" i="5"/>
  <c r="K420" i="5"/>
  <c r="K112" i="5"/>
  <c r="K287" i="5"/>
  <c r="K313" i="5"/>
  <c r="K255" i="5"/>
  <c r="K418" i="5"/>
  <c r="K284" i="5"/>
  <c r="K263" i="5"/>
  <c r="K265" i="5"/>
  <c r="K382" i="5"/>
  <c r="K282" i="5"/>
  <c r="K115" i="5"/>
  <c r="K149" i="5"/>
  <c r="K383" i="5"/>
  <c r="K403" i="5"/>
  <c r="K422" i="5"/>
  <c r="K214" i="5"/>
  <c r="K42" i="5"/>
  <c r="K63" i="5"/>
  <c r="K73" i="5"/>
  <c r="K285" i="5"/>
  <c r="K301" i="5"/>
  <c r="K369" i="5"/>
  <c r="K354" i="5"/>
  <c r="K327" i="5"/>
  <c r="K330" i="5"/>
  <c r="K259" i="5"/>
  <c r="K426" i="5"/>
  <c r="K507" i="5"/>
  <c r="K295" i="5"/>
  <c r="K338" i="5"/>
  <c r="K453" i="5"/>
  <c r="K489" i="5"/>
  <c r="K502" i="5"/>
  <c r="K131" i="5"/>
  <c r="K61" i="5"/>
  <c r="K113" i="5"/>
  <c r="K174" i="5"/>
  <c r="K208" i="5"/>
  <c r="K7" i="5"/>
  <c r="K395" i="5"/>
  <c r="K274" i="5"/>
  <c r="K275" i="5"/>
  <c r="K280" i="5"/>
  <c r="K281" i="5"/>
  <c r="K471" i="5"/>
  <c r="K83" i="5"/>
  <c r="K84" i="5"/>
  <c r="K103" i="5"/>
  <c r="K238" i="5"/>
  <c r="K271" i="5"/>
  <c r="K276" i="5"/>
  <c r="K278" i="5"/>
  <c r="K22" i="5"/>
  <c r="K182" i="5"/>
  <c r="K33" i="5"/>
  <c r="K60" i="5"/>
  <c r="K163" i="5"/>
  <c r="K181" i="5"/>
  <c r="K209" i="5"/>
  <c r="K223" i="5"/>
  <c r="K384" i="5"/>
  <c r="K425" i="5"/>
  <c r="K367" i="5"/>
  <c r="K449" i="5"/>
  <c r="K484" i="5"/>
  <c r="K483" i="5"/>
  <c r="K457" i="5"/>
  <c r="K514" i="5"/>
  <c r="K160" i="5"/>
  <c r="K184" i="5"/>
  <c r="K475" i="5"/>
  <c r="K501" i="5"/>
  <c r="K136" i="5"/>
  <c r="K331" i="5"/>
  <c r="K333" i="5"/>
  <c r="K335" i="5"/>
  <c r="K378" i="5"/>
  <c r="K24" i="5"/>
  <c r="K515" i="5"/>
  <c r="K277" i="5"/>
  <c r="K279" i="5"/>
  <c r="K257" i="5"/>
  <c r="K5" i="5"/>
  <c r="K28" i="5"/>
  <c r="K176" i="5"/>
  <c r="K178" i="5"/>
  <c r="K352" i="5"/>
  <c r="K231" i="5"/>
  <c r="K232" i="5"/>
  <c r="K40" i="5"/>
  <c r="K341" i="5"/>
  <c r="K385" i="5"/>
  <c r="K368" i="5"/>
  <c r="K306" i="5"/>
  <c r="K321" i="5"/>
  <c r="K13" i="5"/>
  <c r="K44" i="5"/>
  <c r="K66" i="5"/>
  <c r="K75" i="5"/>
  <c r="K360" i="5"/>
  <c r="K411" i="5"/>
  <c r="K416" i="5"/>
  <c r="K414" i="5"/>
  <c r="K72" i="5"/>
  <c r="K142" i="5"/>
  <c r="K68" i="5"/>
  <c r="K70" i="5"/>
  <c r="K339" i="5"/>
  <c r="K343" i="5"/>
  <c r="K454" i="5"/>
  <c r="K490" i="5"/>
  <c r="K478" i="5"/>
  <c r="K499" i="5"/>
  <c r="K500" i="5"/>
  <c r="K516" i="5"/>
  <c r="K409" i="5"/>
  <c r="K467" i="5"/>
  <c r="K446" i="5"/>
  <c r="K481" i="5"/>
  <c r="K69" i="5"/>
  <c r="K71" i="5"/>
  <c r="K447" i="5"/>
  <c r="K307" i="5"/>
  <c r="K316" i="5"/>
  <c r="K322" i="5"/>
  <c r="K30" i="5"/>
  <c r="K31" i="5"/>
  <c r="K50" i="5"/>
  <c r="K364" i="5"/>
  <c r="K325" i="5"/>
  <c r="K268" i="5"/>
  <c r="K210" i="5"/>
  <c r="K212" i="5"/>
  <c r="K296" i="5"/>
  <c r="K297" i="5"/>
  <c r="K332" i="5"/>
  <c r="K334" i="5"/>
  <c r="K336" i="5"/>
  <c r="K379" i="5"/>
  <c r="K137" i="5"/>
  <c r="K387" i="5"/>
  <c r="K177" i="5"/>
  <c r="K412" i="5"/>
  <c r="K417" i="5"/>
  <c r="K415" i="5"/>
  <c r="K513" i="5"/>
  <c r="K79" i="5"/>
  <c r="K81" i="5"/>
  <c r="K381" i="5"/>
  <c r="K104" i="5"/>
  <c r="K105" i="5"/>
  <c r="K114" i="5"/>
  <c r="K122" i="5"/>
  <c r="K124" i="5"/>
  <c r="K125" i="5"/>
  <c r="K508" i="5"/>
  <c r="K38" i="5"/>
  <c r="K172" i="5"/>
  <c r="K135" i="5"/>
  <c r="K353" i="5"/>
  <c r="K304" i="5"/>
  <c r="K308" i="5"/>
  <c r="K323" i="5"/>
  <c r="K261" i="5"/>
  <c r="K402" i="5"/>
  <c r="K216" i="5"/>
  <c r="K217" i="5"/>
  <c r="K267" i="5"/>
  <c r="K273" i="5"/>
  <c r="K43" i="5"/>
  <c r="K167" i="5"/>
  <c r="K170" i="5"/>
  <c r="K179" i="5"/>
  <c r="K370" i="5"/>
  <c r="K371" i="5"/>
  <c r="K340" i="5"/>
  <c r="K140" i="5"/>
  <c r="K195" i="5"/>
  <c r="K373" i="5"/>
  <c r="K399" i="5"/>
  <c r="K305" i="5"/>
  <c r="K356" i="5"/>
  <c r="K504" i="5"/>
  <c r="K444" i="5"/>
  <c r="K441" i="5"/>
  <c r="K62" i="5"/>
  <c r="K169" i="5"/>
  <c r="K159" i="5"/>
  <c r="K2" i="5"/>
  <c r="K11" i="5"/>
  <c r="K32" i="5"/>
  <c r="K45" i="5"/>
  <c r="K161" i="5"/>
  <c r="K164" i="5"/>
  <c r="K198" i="5"/>
  <c r="K213" i="5"/>
  <c r="K509" i="5"/>
  <c r="K173" i="5"/>
  <c r="K53" i="5"/>
  <c r="K421" i="5"/>
  <c r="K262" i="5"/>
  <c r="K318" i="5"/>
  <c r="K342" i="5"/>
  <c r="K506" i="5"/>
  <c r="K460" i="5"/>
  <c r="K141" i="5"/>
  <c r="K147" i="5"/>
  <c r="K150" i="5"/>
  <c r="K151" i="5"/>
  <c r="K156" i="5"/>
  <c r="K157" i="5"/>
  <c r="K390" i="5"/>
  <c r="K326" i="5"/>
  <c r="K404" i="5"/>
  <c r="K9" i="5"/>
  <c r="K16" i="5"/>
  <c r="K39" i="5"/>
  <c r="K35" i="5"/>
  <c r="K56" i="5"/>
  <c r="K55" i="5"/>
  <c r="K168" i="5"/>
  <c r="K430" i="5"/>
  <c r="K419" i="5"/>
  <c r="K165" i="5"/>
  <c r="K245" i="5"/>
  <c r="K6" i="5"/>
  <c r="K80" i="5"/>
  <c r="K82" i="5"/>
  <c r="K85" i="5"/>
  <c r="K86" i="5"/>
  <c r="K87" i="5"/>
  <c r="K88" i="5"/>
  <c r="K89" i="5"/>
  <c r="K90" i="5"/>
  <c r="K91" i="5"/>
  <c r="K128" i="5"/>
  <c r="K129" i="5"/>
  <c r="K487" i="5"/>
  <c r="K109" i="5"/>
  <c r="K126" i="5"/>
  <c r="K234" i="5"/>
  <c r="K315" i="5"/>
  <c r="K345" i="5"/>
  <c r="K463" i="5"/>
  <c r="K473" i="5"/>
  <c r="K521" i="5"/>
  <c r="K365" i="5"/>
  <c r="K366" i="5"/>
  <c r="K120" i="5"/>
  <c r="K397" i="5"/>
  <c r="K302" i="5"/>
  <c r="K396" i="5"/>
  <c r="K107" i="5"/>
  <c r="K320" i="5"/>
  <c r="K407" i="5"/>
  <c r="K505" i="5"/>
  <c r="K74" i="5"/>
  <c r="K106" i="5"/>
  <c r="K110" i="5"/>
  <c r="K111" i="5"/>
  <c r="K392" i="5"/>
  <c r="K193" i="5"/>
  <c r="K410" i="5"/>
  <c r="K116" i="5"/>
  <c r="K363" i="5"/>
  <c r="K283" i="5"/>
  <c r="K266" i="5"/>
  <c r="K270" i="5"/>
  <c r="K511" i="5"/>
  <c r="K496" i="5"/>
  <c r="K329" i="5"/>
  <c r="K361" i="5"/>
  <c r="K317" i="5"/>
  <c r="K46" i="5"/>
  <c r="K64" i="5"/>
  <c r="K324" i="5"/>
  <c r="K455" i="5"/>
  <c r="K458" i="5"/>
  <c r="K459" i="5"/>
  <c r="K480" i="5"/>
  <c r="K293" i="5"/>
  <c r="K405" i="5"/>
  <c r="K406" i="5"/>
  <c r="K466" i="5"/>
  <c r="K254" i="5"/>
  <c r="K256" i="5"/>
  <c r="K258" i="5"/>
  <c r="K435" i="5"/>
  <c r="K452" i="5"/>
  <c r="K175" i="5"/>
  <c r="K346" i="5"/>
  <c r="K510" i="5"/>
  <c r="K132" i="5"/>
  <c r="K117" i="5"/>
  <c r="K118" i="5"/>
  <c r="K187" i="5"/>
  <c r="K292" i="5"/>
  <c r="K319" i="5"/>
  <c r="K344" i="5"/>
  <c r="K374" i="5"/>
  <c r="K400" i="5"/>
  <c r="K211" i="5"/>
  <c r="K3" i="5"/>
  <c r="K185" i="5"/>
  <c r="K199" i="5"/>
  <c r="K200" i="5"/>
  <c r="K437" i="5"/>
  <c r="K133" i="5"/>
  <c r="K239" i="5"/>
  <c r="K197" i="5"/>
  <c r="K34" i="5"/>
  <c r="K300" i="5"/>
  <c r="K228" i="5"/>
  <c r="K229" i="5"/>
  <c r="K246" i="5"/>
  <c r="K248" i="5"/>
  <c r="K251" i="5"/>
  <c r="K394" i="5"/>
  <c r="K206" i="5"/>
  <c r="K20" i="5"/>
  <c r="K429" i="5"/>
  <c r="K233" i="5"/>
  <c r="K250" i="5"/>
  <c r="K59" i="5"/>
  <c r="K488" i="5"/>
  <c r="K485" i="5"/>
  <c r="K192" i="5"/>
  <c r="K249" i="5"/>
  <c r="K477" i="5"/>
  <c r="K288" i="5"/>
  <c r="K290" i="5"/>
  <c r="S6" i="11" l="1"/>
  <c r="D9" i="1" s="1"/>
  <c r="T7" i="11"/>
  <c r="E10" i="1" s="1"/>
  <c r="T10" i="11"/>
  <c r="E13" i="1" s="1"/>
  <c r="T4" i="11"/>
  <c r="E7" i="1" s="1"/>
  <c r="T9" i="11"/>
  <c r="E12" i="1" s="1"/>
  <c r="T3" i="11"/>
  <c r="E6" i="1" s="1"/>
  <c r="S5" i="11"/>
  <c r="D8" i="1" s="1"/>
  <c r="S8" i="11"/>
  <c r="D11" i="1" s="1"/>
  <c r="S3" i="11"/>
  <c r="D6" i="1" s="1"/>
  <c r="S9" i="11"/>
  <c r="D12" i="1" s="1"/>
  <c r="S4" i="11"/>
  <c r="D7" i="1" s="1"/>
  <c r="S10" i="11"/>
  <c r="D13" i="1" s="1"/>
  <c r="S7" i="11"/>
  <c r="D10" i="1" s="1"/>
  <c r="J438" i="11"/>
  <c r="O434" i="11"/>
  <c r="N434" i="11"/>
  <c r="L434" i="11"/>
  <c r="G98" i="11"/>
  <c r="O431" i="11"/>
  <c r="N431" i="11"/>
  <c r="L431" i="11"/>
  <c r="O430" i="11"/>
  <c r="N430" i="11"/>
  <c r="L430" i="11"/>
  <c r="G294" i="11"/>
  <c r="H294" i="11" s="1"/>
  <c r="G293" i="11"/>
  <c r="H293" i="11" s="1"/>
  <c r="O428" i="11"/>
  <c r="N428" i="11"/>
  <c r="L428" i="11"/>
  <c r="G58" i="11"/>
  <c r="O424" i="11"/>
  <c r="N424" i="11"/>
  <c r="L424" i="11"/>
  <c r="O423" i="11"/>
  <c r="N423" i="11"/>
  <c r="L423" i="11"/>
  <c r="H97" i="11"/>
  <c r="G97" i="11"/>
  <c r="O419" i="11"/>
  <c r="N419" i="11"/>
  <c r="L419" i="11"/>
  <c r="G186" i="11"/>
  <c r="G185" i="11"/>
  <c r="G183" i="11"/>
  <c r="O414" i="11"/>
  <c r="N414" i="11"/>
  <c r="L414" i="11"/>
  <c r="I54" i="11"/>
  <c r="G54" i="11"/>
  <c r="O412" i="11"/>
  <c r="N412" i="11"/>
  <c r="L412" i="11"/>
  <c r="O411" i="11"/>
  <c r="N411" i="11"/>
  <c r="L411" i="11"/>
  <c r="G292" i="11"/>
  <c r="G291" i="11"/>
  <c r="G290" i="11"/>
  <c r="H289" i="11"/>
  <c r="O407" i="11"/>
  <c r="N407" i="11"/>
  <c r="L407" i="11"/>
  <c r="O404" i="11"/>
  <c r="N404" i="11"/>
  <c r="L404" i="11"/>
  <c r="G179" i="11"/>
  <c r="O398" i="11"/>
  <c r="N398" i="11"/>
  <c r="L398" i="11"/>
  <c r="O397" i="11"/>
  <c r="N397" i="11"/>
  <c r="L397" i="11"/>
  <c r="O394" i="11"/>
  <c r="L394" i="11"/>
  <c r="O393" i="11"/>
  <c r="N393" i="11"/>
  <c r="L393" i="11"/>
  <c r="O389" i="11"/>
  <c r="N389" i="11"/>
  <c r="L389" i="11"/>
  <c r="O387" i="11"/>
  <c r="L387" i="11"/>
  <c r="O385" i="11"/>
  <c r="N385" i="11"/>
  <c r="L385" i="11"/>
  <c r="O381" i="11"/>
  <c r="N381" i="11"/>
  <c r="L381" i="11"/>
  <c r="G47" i="11"/>
  <c r="O378" i="11"/>
  <c r="N378" i="11"/>
  <c r="L378" i="11"/>
  <c r="G368" i="11"/>
  <c r="O376" i="11"/>
  <c r="N376" i="11"/>
  <c r="L376" i="11"/>
  <c r="G220" i="11"/>
  <c r="O375" i="11"/>
  <c r="N375" i="11"/>
  <c r="L375" i="11"/>
  <c r="O372" i="11"/>
  <c r="N372" i="11"/>
  <c r="L372" i="11"/>
  <c r="O368" i="11"/>
  <c r="N368" i="11"/>
  <c r="L368" i="11"/>
  <c r="G215" i="11"/>
  <c r="O361" i="11"/>
  <c r="N361" i="11"/>
  <c r="L361" i="11"/>
  <c r="O357" i="11"/>
  <c r="N357" i="11"/>
  <c r="L357" i="11"/>
  <c r="O354" i="11"/>
  <c r="N354" i="11"/>
  <c r="L354" i="11"/>
  <c r="O353" i="11"/>
  <c r="N353" i="11"/>
  <c r="L353" i="11"/>
  <c r="O351" i="11"/>
  <c r="N351" i="11"/>
  <c r="L351" i="11"/>
  <c r="O350" i="11"/>
  <c r="N350" i="11"/>
  <c r="L350" i="11"/>
  <c r="O342" i="11"/>
  <c r="N342" i="11"/>
  <c r="L342" i="11"/>
  <c r="O341" i="11"/>
  <c r="N341" i="11"/>
  <c r="L341" i="11"/>
  <c r="H353" i="11"/>
  <c r="O329" i="11"/>
  <c r="N329" i="11"/>
  <c r="L329" i="11"/>
  <c r="G40" i="11"/>
  <c r="O327" i="11"/>
  <c r="N327" i="11"/>
  <c r="L327" i="11"/>
  <c r="O326" i="11"/>
  <c r="N326" i="11"/>
  <c r="L326" i="11"/>
  <c r="G82" i="11"/>
  <c r="G306" i="11"/>
  <c r="H306" i="11" s="1"/>
  <c r="O321" i="11"/>
  <c r="N321" i="11"/>
  <c r="L321" i="11"/>
  <c r="H39" i="11"/>
  <c r="G39" i="11"/>
  <c r="H37" i="11"/>
  <c r="O318" i="11"/>
  <c r="N318" i="11"/>
  <c r="L318" i="11"/>
  <c r="G279" i="11"/>
  <c r="O309" i="11"/>
  <c r="N309" i="11"/>
  <c r="L309" i="11"/>
  <c r="O307" i="11"/>
  <c r="N307" i="11"/>
  <c r="L307" i="11"/>
  <c r="H277" i="11"/>
  <c r="G277" i="11"/>
  <c r="O304" i="11"/>
  <c r="N304" i="11"/>
  <c r="L304" i="11"/>
  <c r="O303" i="11"/>
  <c r="N303" i="11"/>
  <c r="L303" i="11"/>
  <c r="G427" i="11"/>
  <c r="H427" i="11" s="1"/>
  <c r="O301" i="11"/>
  <c r="N301" i="11"/>
  <c r="L301" i="11"/>
  <c r="G424" i="11"/>
  <c r="G423" i="11"/>
  <c r="G422" i="11"/>
  <c r="G421" i="11"/>
  <c r="G420" i="11"/>
  <c r="H420" i="11" s="1"/>
  <c r="H418" i="11"/>
  <c r="H417" i="11"/>
  <c r="O292" i="11"/>
  <c r="N292" i="11"/>
  <c r="L292" i="11"/>
  <c r="G274" i="11"/>
  <c r="G273" i="11"/>
  <c r="G272" i="11"/>
  <c r="O289" i="11"/>
  <c r="N289" i="11"/>
  <c r="L289" i="11"/>
  <c r="O287" i="11"/>
  <c r="N287" i="11"/>
  <c r="L287" i="11"/>
  <c r="G31" i="11"/>
  <c r="O280" i="11"/>
  <c r="N280" i="11"/>
  <c r="L280" i="11"/>
  <c r="O279" i="11"/>
  <c r="N279" i="11"/>
  <c r="L279" i="11"/>
  <c r="G166" i="11"/>
  <c r="G165" i="11"/>
  <c r="G164" i="11"/>
  <c r="H164" i="11" s="1"/>
  <c r="O273" i="11"/>
  <c r="N273" i="11"/>
  <c r="L273" i="11"/>
  <c r="O269" i="11"/>
  <c r="N269" i="11"/>
  <c r="L269" i="11"/>
  <c r="O267" i="11"/>
  <c r="N267" i="11"/>
  <c r="L267" i="11"/>
  <c r="H410" i="11"/>
  <c r="O260" i="11"/>
  <c r="N260" i="11"/>
  <c r="L260" i="11"/>
  <c r="O259" i="11"/>
  <c r="N259" i="11"/>
  <c r="L259" i="11"/>
  <c r="O253" i="11"/>
  <c r="N253" i="11"/>
  <c r="L253" i="11"/>
  <c r="O250" i="11"/>
  <c r="N250" i="11"/>
  <c r="L250" i="11"/>
  <c r="O245" i="11"/>
  <c r="N245" i="11"/>
  <c r="L245" i="11"/>
  <c r="O244" i="11"/>
  <c r="N244" i="11"/>
  <c r="L244" i="11"/>
  <c r="O239" i="11"/>
  <c r="N239" i="11"/>
  <c r="L239" i="11"/>
  <c r="O237" i="11"/>
  <c r="N237" i="11"/>
  <c r="L237" i="11"/>
  <c r="G347" i="11"/>
  <c r="H347" i="11" s="1"/>
  <c r="O229" i="11"/>
  <c r="N229" i="11"/>
  <c r="L229" i="11"/>
  <c r="O226" i="11"/>
  <c r="N226" i="11"/>
  <c r="L226" i="11"/>
  <c r="O225" i="11"/>
  <c r="N225" i="11"/>
  <c r="L225" i="11"/>
  <c r="O223" i="11"/>
  <c r="N223" i="11"/>
  <c r="L223" i="11"/>
  <c r="O219" i="11"/>
  <c r="N219" i="11"/>
  <c r="L219" i="11"/>
  <c r="O218" i="11"/>
  <c r="N218" i="11"/>
  <c r="L218" i="11"/>
  <c r="O217" i="11"/>
  <c r="N217" i="11"/>
  <c r="L217" i="11"/>
  <c r="G24" i="11"/>
  <c r="H24" i="11" s="1"/>
  <c r="G23" i="11"/>
  <c r="H23" i="11" s="1"/>
  <c r="O215" i="11"/>
  <c r="N215" i="11"/>
  <c r="L215" i="11"/>
  <c r="O208" i="11"/>
  <c r="N208" i="11"/>
  <c r="L208" i="11"/>
  <c r="O207" i="11"/>
  <c r="N207" i="11"/>
  <c r="L207" i="11"/>
  <c r="O206" i="11"/>
  <c r="N206" i="11"/>
  <c r="L206" i="11"/>
  <c r="O201" i="11"/>
  <c r="N201" i="11"/>
  <c r="L201" i="11"/>
  <c r="G156" i="11"/>
  <c r="G155" i="11"/>
  <c r="H155" i="11" s="1"/>
  <c r="H154" i="11"/>
  <c r="O198" i="11"/>
  <c r="N198" i="11"/>
  <c r="L198" i="11"/>
  <c r="O195" i="11"/>
  <c r="N195" i="11"/>
  <c r="L195" i="11"/>
  <c r="O193" i="11"/>
  <c r="N193" i="11"/>
  <c r="L193" i="11"/>
  <c r="O192" i="11"/>
  <c r="N192" i="11"/>
  <c r="L192" i="11"/>
  <c r="G399" i="11"/>
  <c r="G398" i="11"/>
  <c r="I396" i="11"/>
  <c r="N394" i="11" s="1"/>
  <c r="G396" i="11"/>
  <c r="O186" i="11"/>
  <c r="N186" i="11"/>
  <c r="L186" i="11"/>
  <c r="O185" i="11"/>
  <c r="N185" i="11"/>
  <c r="L185" i="11"/>
  <c r="H338" i="11"/>
  <c r="O184" i="11"/>
  <c r="N184" i="11"/>
  <c r="L184" i="11"/>
  <c r="O179" i="11"/>
  <c r="N179" i="11"/>
  <c r="L179" i="11"/>
  <c r="I389" i="11"/>
  <c r="N174" i="11" s="1"/>
  <c r="G389" i="11"/>
  <c r="O174" i="11"/>
  <c r="L174" i="11"/>
  <c r="G150" i="11"/>
  <c r="G149" i="11"/>
  <c r="O170" i="11"/>
  <c r="N170" i="11"/>
  <c r="L170" i="11"/>
  <c r="O165" i="11"/>
  <c r="N165" i="11"/>
  <c r="L165" i="11"/>
  <c r="O164" i="11"/>
  <c r="N164" i="11"/>
  <c r="L164" i="11"/>
  <c r="O162" i="11"/>
  <c r="N162" i="11"/>
  <c r="L162" i="11"/>
  <c r="I73" i="11"/>
  <c r="G73" i="11" s="1"/>
  <c r="I72" i="11"/>
  <c r="G72" i="11" s="1"/>
  <c r="G70" i="11"/>
  <c r="G69" i="11"/>
  <c r="G303" i="11"/>
  <c r="O155" i="11"/>
  <c r="N155" i="11"/>
  <c r="L155" i="11"/>
  <c r="G388" i="11"/>
  <c r="O153" i="11"/>
  <c r="N153" i="11"/>
  <c r="L153" i="11"/>
  <c r="O146" i="11"/>
  <c r="N146" i="11"/>
  <c r="L146" i="11"/>
  <c r="O145" i="11"/>
  <c r="N145" i="11"/>
  <c r="L145" i="11"/>
  <c r="H250" i="11"/>
  <c r="G246" i="11"/>
  <c r="O135" i="11"/>
  <c r="N135" i="11"/>
  <c r="L135" i="11"/>
  <c r="O130" i="11"/>
  <c r="N130" i="11"/>
  <c r="L130" i="11"/>
  <c r="O129" i="11"/>
  <c r="N129" i="11"/>
  <c r="L129" i="11"/>
  <c r="O120" i="11"/>
  <c r="N120" i="11"/>
  <c r="L120" i="11"/>
  <c r="G139" i="11"/>
  <c r="O118" i="11"/>
  <c r="N118" i="11"/>
  <c r="L118" i="11"/>
  <c r="G138" i="11"/>
  <c r="H138" i="11" s="1"/>
  <c r="O117" i="11"/>
  <c r="N117" i="11"/>
  <c r="L117" i="11"/>
  <c r="O113" i="11"/>
  <c r="N113" i="11"/>
  <c r="L113" i="11"/>
  <c r="N112" i="11"/>
  <c r="L112" i="11"/>
  <c r="O109" i="11"/>
  <c r="N109" i="11"/>
  <c r="L109" i="11"/>
  <c r="O107" i="11"/>
  <c r="N107" i="11"/>
  <c r="L107" i="11"/>
  <c r="G135" i="11"/>
  <c r="H135" i="11" s="1"/>
  <c r="O102" i="11"/>
  <c r="N102" i="11"/>
  <c r="L102" i="11"/>
  <c r="O101" i="11"/>
  <c r="N101" i="11"/>
  <c r="L101" i="11"/>
  <c r="O98" i="11"/>
  <c r="N98" i="11"/>
  <c r="L98" i="11"/>
  <c r="O96" i="11"/>
  <c r="N96" i="11"/>
  <c r="L96" i="11"/>
  <c r="O94" i="11"/>
  <c r="L94" i="11"/>
  <c r="I6" i="11"/>
  <c r="N3" i="11" s="1"/>
  <c r="G6" i="11"/>
  <c r="O85" i="11"/>
  <c r="N85" i="11"/>
  <c r="L85" i="11"/>
  <c r="G311" i="11"/>
  <c r="H311" i="11" s="1"/>
  <c r="O83" i="11"/>
  <c r="N83" i="11"/>
  <c r="L83" i="11"/>
  <c r="O79" i="11"/>
  <c r="N79" i="11"/>
  <c r="L79" i="11"/>
  <c r="N78" i="11"/>
  <c r="L78" i="11"/>
  <c r="O74" i="11"/>
  <c r="N74" i="11"/>
  <c r="L74" i="11"/>
  <c r="H379" i="11"/>
  <c r="O72" i="11"/>
  <c r="L72" i="11"/>
  <c r="N71" i="11"/>
  <c r="L71" i="11"/>
  <c r="G199" i="11"/>
  <c r="O62" i="11"/>
  <c r="N62" i="11"/>
  <c r="L62" i="11"/>
  <c r="G128" i="11"/>
  <c r="G123" i="11"/>
  <c r="O49" i="11"/>
  <c r="L49" i="11"/>
  <c r="G118" i="11"/>
  <c r="O47" i="11"/>
  <c r="N47" i="11"/>
  <c r="L47" i="11"/>
  <c r="G191" i="11"/>
  <c r="O43" i="11"/>
  <c r="N43" i="11"/>
  <c r="L43" i="11"/>
  <c r="G113" i="11"/>
  <c r="G111" i="11"/>
  <c r="G110" i="11"/>
  <c r="H109" i="11"/>
  <c r="O37" i="11"/>
  <c r="N37" i="11"/>
  <c r="L37" i="11"/>
  <c r="H108" i="11"/>
  <c r="O29" i="11"/>
  <c r="N29" i="11"/>
  <c r="L29" i="11"/>
  <c r="O27" i="11"/>
  <c r="N27" i="11"/>
  <c r="L27" i="11"/>
  <c r="O25" i="11"/>
  <c r="N25" i="11"/>
  <c r="L25" i="11"/>
  <c r="O23" i="11"/>
  <c r="N23" i="11"/>
  <c r="L23" i="11"/>
  <c r="G378" i="11"/>
  <c r="G377" i="11"/>
  <c r="O20" i="11"/>
  <c r="N20" i="11"/>
  <c r="L20" i="11"/>
  <c r="G376" i="11"/>
  <c r="O18" i="11"/>
  <c r="N18" i="11"/>
  <c r="L18" i="11"/>
  <c r="O16" i="11"/>
  <c r="N16" i="11"/>
  <c r="L16" i="11"/>
  <c r="O14" i="11"/>
  <c r="N14" i="11"/>
  <c r="L14" i="11"/>
  <c r="O13" i="11"/>
  <c r="N13" i="11"/>
  <c r="L13" i="11"/>
  <c r="G105" i="11"/>
  <c r="H105" i="11" s="1"/>
  <c r="G104" i="11"/>
  <c r="H103" i="11"/>
  <c r="O9" i="11"/>
  <c r="N9" i="11"/>
  <c r="L9" i="11"/>
  <c r="H102" i="11"/>
  <c r="O8" i="11"/>
  <c r="N8" i="11"/>
  <c r="L8" i="11"/>
  <c r="O3" i="11"/>
  <c r="L3" i="11"/>
  <c r="O2" i="11"/>
  <c r="N2" i="11"/>
  <c r="L2" i="11"/>
  <c r="N72" i="11" l="1"/>
  <c r="T5" i="11"/>
  <c r="E8" i="1" s="1"/>
  <c r="T6" i="11"/>
  <c r="E9" i="1" s="1"/>
  <c r="T8" i="11"/>
  <c r="E11" i="1" s="1"/>
  <c r="N387" i="11"/>
  <c r="N49" i="11"/>
  <c r="I438" i="11"/>
  <c r="S12" i="11"/>
  <c r="O436" i="11"/>
  <c r="N94" i="11"/>
  <c r="N436" i="11" l="1"/>
  <c r="T12" i="11"/>
  <c r="I223" i="5"/>
  <c r="I133" i="5" l="1"/>
  <c r="I136" i="5"/>
  <c r="I138" i="5"/>
  <c r="M83" i="3" l="1"/>
  <c r="M82" i="3" l="1"/>
  <c r="L82" i="3"/>
  <c r="M81" i="3"/>
  <c r="L81" i="3"/>
  <c r="I110" i="2"/>
  <c r="H110" i="2"/>
  <c r="M13" i="2"/>
  <c r="L13" i="2"/>
  <c r="M11" i="2"/>
  <c r="L11" i="2"/>
  <c r="M10" i="2"/>
  <c r="L10" i="2"/>
  <c r="M9" i="2"/>
  <c r="L9" i="2"/>
  <c r="M8" i="2"/>
  <c r="L8" i="2"/>
  <c r="M5" i="2"/>
  <c r="L5" i="2"/>
  <c r="M4" i="2"/>
  <c r="L4" i="2"/>
  <c r="M5" i="4"/>
  <c r="L5" i="4"/>
  <c r="M4" i="4"/>
  <c r="L4" i="4"/>
  <c r="M3" i="4"/>
  <c r="L3" i="4"/>
  <c r="M6" i="2"/>
  <c r="L6" i="2"/>
  <c r="M84" i="3" l="1"/>
  <c r="L84" i="3"/>
  <c r="F77" i="2"/>
  <c r="G77" i="2" s="1"/>
  <c r="F116" i="3"/>
  <c r="G116" i="3" s="1"/>
  <c r="F90" i="2"/>
  <c r="F76" i="2"/>
  <c r="J67" i="1"/>
  <c r="M34" i="3"/>
  <c r="F61" i="3"/>
  <c r="G61" i="3" s="1"/>
  <c r="F89" i="2"/>
  <c r="G89" i="2" s="1"/>
  <c r="F88" i="2"/>
  <c r="G88" i="2" s="1"/>
  <c r="F60" i="3"/>
  <c r="G60" i="3" s="1"/>
  <c r="I89" i="4" l="1"/>
  <c r="H89" i="4"/>
  <c r="F54" i="2"/>
  <c r="G54" i="2" s="1"/>
  <c r="F37" i="3"/>
  <c r="G37" i="3" s="1"/>
  <c r="L76" i="3" l="1"/>
  <c r="M76" i="3" l="1"/>
  <c r="L15" i="2" l="1"/>
  <c r="P61" i="3"/>
  <c r="L80" i="3" l="1"/>
  <c r="M15" i="2"/>
  <c r="I135" i="1" l="1"/>
  <c r="M80" i="3" l="1"/>
  <c r="M91" i="3" l="1"/>
  <c r="L91" i="3"/>
  <c r="D15" i="1" l="1"/>
  <c r="E15" i="1"/>
  <c r="F27" i="4" l="1"/>
  <c r="G27" i="4" s="1"/>
  <c r="D21" i="1" l="1"/>
  <c r="E21" i="1"/>
  <c r="E23" i="1"/>
  <c r="F40" i="4"/>
  <c r="F12" i="4"/>
  <c r="F11" i="4"/>
  <c r="F10" i="4"/>
  <c r="F14" i="4"/>
  <c r="D23" i="1" l="1"/>
  <c r="L6" i="4"/>
  <c r="M6" i="4"/>
  <c r="D22" i="1"/>
  <c r="E22" i="1"/>
  <c r="E24" i="1" s="1"/>
  <c r="F41" i="4"/>
  <c r="F46" i="4"/>
  <c r="G46" i="4" s="1"/>
  <c r="F45" i="4"/>
  <c r="G45" i="4" s="1"/>
  <c r="D24" i="1" l="1"/>
  <c r="F60" i="4"/>
  <c r="F4" i="4"/>
  <c r="F2" i="4"/>
  <c r="D30" i="1"/>
  <c r="E30" i="1"/>
  <c r="D35" i="1" s="1"/>
  <c r="B35" i="1" l="1"/>
  <c r="J135" i="1"/>
</calcChain>
</file>

<file path=xl/sharedStrings.xml><?xml version="1.0" encoding="utf-8"?>
<sst xmlns="http://schemas.openxmlformats.org/spreadsheetml/2006/main" count="11693" uniqueCount="552">
  <si>
    <t>Unidade</t>
  </si>
  <si>
    <t>Data da Venda</t>
  </si>
  <si>
    <t>Nome</t>
  </si>
  <si>
    <t>VGV</t>
  </si>
  <si>
    <t>Corretor</t>
  </si>
  <si>
    <t>Quantidade</t>
  </si>
  <si>
    <t>Gerente</t>
  </si>
  <si>
    <t>Ranking por VGV - Acumulado</t>
  </si>
  <si>
    <t>Posição</t>
  </si>
  <si>
    <t>Unidades</t>
  </si>
  <si>
    <t>Torre</t>
  </si>
  <si>
    <t>Empreendimento</t>
  </si>
  <si>
    <t>Total</t>
  </si>
  <si>
    <t>Vendas</t>
  </si>
  <si>
    <t>Revendas</t>
  </si>
  <si>
    <t xml:space="preserve"> </t>
  </si>
  <si>
    <t>MATHEUS</t>
  </si>
  <si>
    <t>BRUNO</t>
  </si>
  <si>
    <t>ALEXANDRE</t>
  </si>
  <si>
    <t>MAGAL</t>
  </si>
  <si>
    <t>TINO</t>
  </si>
  <si>
    <t>GASPAR</t>
  </si>
  <si>
    <t>MEL</t>
  </si>
  <si>
    <t>ROBSON</t>
  </si>
  <si>
    <t>ABILIO</t>
  </si>
  <si>
    <t>JIMMY</t>
  </si>
  <si>
    <t>MOSHE</t>
  </si>
  <si>
    <t>VITOR</t>
  </si>
  <si>
    <t>Comissão</t>
  </si>
  <si>
    <t>Premio</t>
  </si>
  <si>
    <t xml:space="preserve">Imobiliária Terceiro </t>
  </si>
  <si>
    <t>GREGORIO</t>
  </si>
  <si>
    <t>PIANTE</t>
  </si>
  <si>
    <t>BONAFE</t>
  </si>
  <si>
    <t>VANIA</t>
  </si>
  <si>
    <t>ROSE</t>
  </si>
  <si>
    <t>GILBERTO</t>
  </si>
  <si>
    <t>COSTA</t>
  </si>
  <si>
    <t>JAIME</t>
  </si>
  <si>
    <t>FANY</t>
  </si>
  <si>
    <t>FARIA</t>
  </si>
  <si>
    <t>CAXAMBU</t>
  </si>
  <si>
    <t>KHAL</t>
  </si>
  <si>
    <t>MAURICIO</t>
  </si>
  <si>
    <t>TONY</t>
  </si>
  <si>
    <t>BACCAN</t>
  </si>
  <si>
    <t>GIMENEZ</t>
  </si>
  <si>
    <t>EDUARDO</t>
  </si>
  <si>
    <t>LIBERATO</t>
  </si>
  <si>
    <t>CLAUDIA</t>
  </si>
  <si>
    <t>SARAIVA</t>
  </si>
  <si>
    <t>MALU (ONLINE)</t>
  </si>
  <si>
    <t>VERA</t>
  </si>
  <si>
    <t>CLASS VARANDA MARIANA</t>
  </si>
  <si>
    <t>NOVO JARDIM</t>
  </si>
  <si>
    <t>HELOISA</t>
  </si>
  <si>
    <t>LUSIMERE</t>
  </si>
  <si>
    <t>AMISTA SPECIAL RESORT</t>
  </si>
  <si>
    <t>MAGNÓLIA</t>
  </si>
  <si>
    <t>FREIRE</t>
  </si>
  <si>
    <t>MEDEIROS</t>
  </si>
  <si>
    <t>DOUGLAS</t>
  </si>
  <si>
    <t>ENZO</t>
  </si>
  <si>
    <t>MITUI</t>
  </si>
  <si>
    <t>ANDERSON</t>
  </si>
  <si>
    <t>DANIELA</t>
  </si>
  <si>
    <t>KATE</t>
  </si>
  <si>
    <t>DIAS</t>
  </si>
  <si>
    <t>HAROLDO</t>
  </si>
  <si>
    <t>HAMILTON</t>
  </si>
  <si>
    <t>COELHO</t>
  </si>
  <si>
    <t>CHANNEL</t>
  </si>
  <si>
    <t>TOME</t>
  </si>
  <si>
    <t>NETO</t>
  </si>
  <si>
    <t>FALCÃO</t>
  </si>
  <si>
    <t>GALILEU</t>
  </si>
  <si>
    <t>GILDA</t>
  </si>
  <si>
    <t>GUILHERMINA</t>
  </si>
  <si>
    <t>JULINHO</t>
  </si>
  <si>
    <t>LUCIANO</t>
  </si>
  <si>
    <t>EVITA</t>
  </si>
  <si>
    <t>DECOR PARAÍSO</t>
  </si>
  <si>
    <t>ÚNICA</t>
  </si>
  <si>
    <t>CAMIS (ONLINE)</t>
  </si>
  <si>
    <t>VINNI</t>
  </si>
  <si>
    <t xml:space="preserve">ÚNICA </t>
  </si>
  <si>
    <t>HUDSON</t>
  </si>
  <si>
    <t>CACAU</t>
  </si>
  <si>
    <t>FELICIDADE</t>
  </si>
  <si>
    <t>PIAZZA SUPREMA</t>
  </si>
  <si>
    <t>IMOBILIÁRIA TERCEIROS - MACHADO</t>
  </si>
  <si>
    <t>MACHADO</t>
  </si>
  <si>
    <t>LUDMILLA (ONLINE)</t>
  </si>
  <si>
    <t>BLUMA (ONLINE)</t>
  </si>
  <si>
    <t>CARINA (ONLINE)</t>
  </si>
  <si>
    <t>SYLMARA (ONLINE)</t>
  </si>
  <si>
    <t>TATYANA (ONLINE)</t>
  </si>
  <si>
    <t>THIAGO (ONLINE)</t>
  </si>
  <si>
    <t>ESTHER (ONLINE)</t>
  </si>
  <si>
    <t>REYNALDO (ONLINE)</t>
  </si>
  <si>
    <t>GARCIA (ONLINE)</t>
  </si>
  <si>
    <t>PATRICIA (ONLINE)</t>
  </si>
  <si>
    <t>FERNANDO</t>
  </si>
  <si>
    <t>ADRIANO</t>
  </si>
  <si>
    <t>KAMILA</t>
  </si>
  <si>
    <t>ERICA (ONLINE)</t>
  </si>
  <si>
    <t xml:space="preserve">TILICO </t>
  </si>
  <si>
    <t>Ranking por VGV - Mac e Cia - Acumulado</t>
  </si>
  <si>
    <t>TOTAL</t>
  </si>
  <si>
    <t>Ranking por VGV - Revenda - Acumulado</t>
  </si>
  <si>
    <t>Ranking por VGV - Geral - Acumulado</t>
  </si>
  <si>
    <t xml:space="preserve">NOVO JARDIM </t>
  </si>
  <si>
    <t xml:space="preserve">MAGNÓLIA </t>
  </si>
  <si>
    <t>UNICA</t>
  </si>
  <si>
    <t xml:space="preserve">AVANTI GUARULHOS </t>
  </si>
  <si>
    <t xml:space="preserve">TONS DA VILLA </t>
  </si>
  <si>
    <t>AMISTA BOSQUE &amp; LAZER</t>
  </si>
  <si>
    <t>ACACIA</t>
  </si>
  <si>
    <t xml:space="preserve">FLORES </t>
  </si>
  <si>
    <t>MAGNOLIA</t>
  </si>
  <si>
    <t xml:space="preserve">CLASS VARANDA MARIANA </t>
  </si>
  <si>
    <t>AMARILIS</t>
  </si>
  <si>
    <t>ESTILO JARDINS</t>
  </si>
  <si>
    <t>IMOBILIARIA TERCEIROS - FALCÃO</t>
  </si>
  <si>
    <t xml:space="preserve">NEW STATION </t>
  </si>
  <si>
    <t>IMOBILIARIA TERCEIROS - FERNANDO</t>
  </si>
  <si>
    <t>DECOR PARAISO</t>
  </si>
  <si>
    <t>IMOBILIARIA TERCEIROS - MACHADO</t>
  </si>
  <si>
    <t>VALMIR</t>
  </si>
  <si>
    <t>DIEGO</t>
  </si>
  <si>
    <t xml:space="preserve">VITOR </t>
  </si>
  <si>
    <t xml:space="preserve">DOUGLAS </t>
  </si>
  <si>
    <t xml:space="preserve">JIMMY </t>
  </si>
  <si>
    <t xml:space="preserve">IMOB TERCEIROS - HUDSON </t>
  </si>
  <si>
    <t xml:space="preserve">HUDSON </t>
  </si>
  <si>
    <t>IMOB TERCEIROS - FALCÃO</t>
  </si>
  <si>
    <t>BURITI</t>
  </si>
  <si>
    <t>PASSAROS</t>
  </si>
  <si>
    <t xml:space="preserve">AVANTI CLUBE </t>
  </si>
  <si>
    <t xml:space="preserve">AVANTI VIDA </t>
  </si>
  <si>
    <t>RAPHAEL</t>
  </si>
  <si>
    <t>LIANY</t>
  </si>
  <si>
    <t>ARTTE</t>
  </si>
  <si>
    <t xml:space="preserve">ABILIO </t>
  </si>
  <si>
    <t>IMOB TERCEIROS - ROSE</t>
  </si>
  <si>
    <t xml:space="preserve">COSMOPOLITAN </t>
  </si>
  <si>
    <t>COSMOPOLITAN</t>
  </si>
  <si>
    <t>MARCIA</t>
  </si>
  <si>
    <t>GISELE</t>
  </si>
  <si>
    <t>LUCIA</t>
  </si>
  <si>
    <t>TROIA</t>
  </si>
  <si>
    <t>NEIVA (ONLINE)</t>
  </si>
  <si>
    <t>AUGUSTO</t>
  </si>
  <si>
    <t>GLASER</t>
  </si>
  <si>
    <t>JOAL</t>
  </si>
  <si>
    <t>JONAS</t>
  </si>
  <si>
    <t>IMOB TERCEIROS - MACHADO</t>
  </si>
  <si>
    <t>IMOB TERCEIROS - FERNANDO</t>
  </si>
  <si>
    <t>SOLANGE (ONLINE)</t>
  </si>
  <si>
    <t>JADE</t>
  </si>
  <si>
    <t>RONALDO</t>
  </si>
  <si>
    <t>AILTON</t>
  </si>
  <si>
    <t>DANTE</t>
  </si>
  <si>
    <t>VITORIA</t>
  </si>
  <si>
    <t>CORAL</t>
  </si>
  <si>
    <t xml:space="preserve">AROEIRA </t>
  </si>
  <si>
    <t>AMISTA BIOSQUE LAZARE</t>
  </si>
  <si>
    <t>CAMBUI</t>
  </si>
  <si>
    <t>FATIMA</t>
  </si>
  <si>
    <t>JOSELIA</t>
  </si>
  <si>
    <t>ARETHA</t>
  </si>
  <si>
    <t>DEBORA</t>
  </si>
  <si>
    <t>OLAVO</t>
  </si>
  <si>
    <t>LEANDRO</t>
  </si>
  <si>
    <t xml:space="preserve">SILVA </t>
  </si>
  <si>
    <t>JEQUITIBA</t>
  </si>
  <si>
    <t>CARLOS</t>
  </si>
  <si>
    <t>ROMULO</t>
  </si>
  <si>
    <t>SILVIA (ONLINE)</t>
  </si>
  <si>
    <t>BENTO</t>
  </si>
  <si>
    <t>IRINEU</t>
  </si>
  <si>
    <t>IMOBILIÁRIA TERCEIRO -FALCÃO</t>
  </si>
  <si>
    <t>AVANTI VIDA</t>
  </si>
  <si>
    <t>FIGUEIRA</t>
  </si>
  <si>
    <t xml:space="preserve">ALEXANDRE </t>
  </si>
  <si>
    <t>VERTE</t>
  </si>
  <si>
    <t>GALLERY OFFICES</t>
  </si>
  <si>
    <t xml:space="preserve">ARTTE </t>
  </si>
  <si>
    <t>AMIZADE</t>
  </si>
  <si>
    <t>ANDIROBA</t>
  </si>
  <si>
    <t xml:space="preserve">BRUNO </t>
  </si>
  <si>
    <t>AMISTÁ BOSQUE LAZER</t>
  </si>
  <si>
    <t xml:space="preserve">FARIA </t>
  </si>
  <si>
    <t>FERNANDA</t>
  </si>
  <si>
    <t xml:space="preserve">GILDA </t>
  </si>
  <si>
    <t>AMISTA BOSQUE LAZER</t>
  </si>
  <si>
    <t>LUDMILLA</t>
  </si>
  <si>
    <t>REYNALDO</t>
  </si>
  <si>
    <t>ROBERTO</t>
  </si>
  <si>
    <t>SILVA</t>
  </si>
  <si>
    <t>TILICO</t>
  </si>
  <si>
    <t>VAGA EXTRA</t>
  </si>
  <si>
    <t xml:space="preserve">226G </t>
  </si>
  <si>
    <t xml:space="preserve">VANIA </t>
  </si>
  <si>
    <t>AMISTÁ BOSQUE</t>
  </si>
  <si>
    <t>ACÁCIA</t>
  </si>
  <si>
    <t>CAMIS</t>
  </si>
  <si>
    <t>CARINA</t>
  </si>
  <si>
    <t>AMISTÁ SPECIAL RESORT</t>
  </si>
  <si>
    <t xml:space="preserve">AMISTÁ BOSQUE </t>
  </si>
  <si>
    <t xml:space="preserve">BURITI </t>
  </si>
  <si>
    <t>CAMBUÍ</t>
  </si>
  <si>
    <t xml:space="preserve">ADRIANO </t>
  </si>
  <si>
    <t>ARES DO PARQUE</t>
  </si>
  <si>
    <t xml:space="preserve">JAIME </t>
  </si>
  <si>
    <t xml:space="preserve">FLAMBOYANT </t>
  </si>
  <si>
    <t xml:space="preserve">DIEGO </t>
  </si>
  <si>
    <t>201-M</t>
  </si>
  <si>
    <t>BLUMA</t>
  </si>
  <si>
    <t>AMISTA BOSQUE E LAZER</t>
  </si>
  <si>
    <t>FLAMBOYANT</t>
  </si>
  <si>
    <t xml:space="preserve">CARINA </t>
  </si>
  <si>
    <t>110 E 111</t>
  </si>
  <si>
    <t>104, 604, 1105 E 1106</t>
  </si>
  <si>
    <t>DENISE</t>
  </si>
  <si>
    <t>ÚNICO</t>
  </si>
  <si>
    <t xml:space="preserve">FELICIDADE </t>
  </si>
  <si>
    <t>LIRIO</t>
  </si>
  <si>
    <t>1108 E 1111</t>
  </si>
  <si>
    <t>903 E 904</t>
  </si>
  <si>
    <t>AVANTI GUARULHOS</t>
  </si>
  <si>
    <t>PÁSSAROS</t>
  </si>
  <si>
    <t>1109 E 1110</t>
  </si>
  <si>
    <t>TONS DA VILLA</t>
  </si>
  <si>
    <t>1501 ATE 1512</t>
  </si>
  <si>
    <t>MALU</t>
  </si>
  <si>
    <t>138G</t>
  </si>
  <si>
    <t>PATRICIA</t>
  </si>
  <si>
    <t>132G</t>
  </si>
  <si>
    <t>SYLMARA</t>
  </si>
  <si>
    <t>1001, 1002 E 1012</t>
  </si>
  <si>
    <t>1006 E 1007</t>
  </si>
  <si>
    <t>220-G</t>
  </si>
  <si>
    <t>223M</t>
  </si>
  <si>
    <t>203-M</t>
  </si>
  <si>
    <t>FLORES</t>
  </si>
  <si>
    <t>FAMILIA IPIRANGA</t>
  </si>
  <si>
    <t>ACQUA</t>
  </si>
  <si>
    <t>PITANGUEIRA</t>
  </si>
  <si>
    <t>SOLAR</t>
  </si>
  <si>
    <t>Obs.: 1112 Cosmopolitan foi definido venda para Lopes.</t>
  </si>
  <si>
    <t>ARETA</t>
  </si>
  <si>
    <t>IMOBILIÁRIA TERCEIRO -MACHADO</t>
  </si>
  <si>
    <t>MAURO</t>
  </si>
  <si>
    <t>FECILIDADE</t>
  </si>
  <si>
    <t>DEBORAH</t>
  </si>
  <si>
    <t>MARTA (ONLINE)</t>
  </si>
  <si>
    <t>NETHO</t>
  </si>
  <si>
    <t xml:space="preserve">CLASS </t>
  </si>
  <si>
    <t>CLASS</t>
  </si>
  <si>
    <t>CAMIS (ON LINE)</t>
  </si>
  <si>
    <t>BLUMA (ON LINE)</t>
  </si>
  <si>
    <t>TOBIAS</t>
  </si>
  <si>
    <t>SOLANGE</t>
  </si>
  <si>
    <t xml:space="preserve">ARES DO PARQUE </t>
  </si>
  <si>
    <t>ARES DOA PARQUE</t>
  </si>
  <si>
    <t>IDALICE</t>
  </si>
  <si>
    <t>MARCELO</t>
  </si>
  <si>
    <t>DAMIÃO</t>
  </si>
  <si>
    <t xml:space="preserve">PIAZZA SUPREMA </t>
  </si>
  <si>
    <t>PASSEIO DO BOSQUE</t>
  </si>
  <si>
    <t xml:space="preserve">JEQUITIBA </t>
  </si>
  <si>
    <t>EUCALIPTO</t>
  </si>
  <si>
    <t>CARVALHO</t>
  </si>
  <si>
    <t>CRISTIANO</t>
  </si>
  <si>
    <t>NATAL</t>
  </si>
  <si>
    <t>EVA</t>
  </si>
  <si>
    <t>MARIANA</t>
  </si>
  <si>
    <t>IPE</t>
  </si>
  <si>
    <t>KEIKO</t>
  </si>
  <si>
    <t>MIRIAM</t>
  </si>
  <si>
    <t>ARAUJO</t>
  </si>
  <si>
    <t>AFRAH</t>
  </si>
  <si>
    <t>CAROL</t>
  </si>
  <si>
    <t>SILVIA(ONLINE)</t>
  </si>
  <si>
    <t>CESAR</t>
  </si>
  <si>
    <t>SOUZA</t>
  </si>
  <si>
    <t>CIDA</t>
  </si>
  <si>
    <t>CIDA (2)</t>
  </si>
  <si>
    <t>LUIZA</t>
  </si>
  <si>
    <t>SENNA</t>
  </si>
  <si>
    <t>ERCIO</t>
  </si>
  <si>
    <t>FLAVIO</t>
  </si>
  <si>
    <t>488G</t>
  </si>
  <si>
    <t>487G</t>
  </si>
  <si>
    <t>CABRAL</t>
  </si>
  <si>
    <t>GARCIA</t>
  </si>
  <si>
    <t>IVONE</t>
  </si>
  <si>
    <t>VICINO</t>
  </si>
  <si>
    <t xml:space="preserve">STATION OFFICES </t>
  </si>
  <si>
    <t>LUNA</t>
  </si>
  <si>
    <t>IMOBILIÁRIA TERCEIRO -FERNANDO</t>
  </si>
  <si>
    <t>IRIS</t>
  </si>
  <si>
    <t>375G</t>
  </si>
  <si>
    <t>IRENE</t>
  </si>
  <si>
    <t>MIRIAM (ONLINE)</t>
  </si>
  <si>
    <t>ITAMAR</t>
  </si>
  <si>
    <t>ERICA</t>
  </si>
  <si>
    <t>ESTHER</t>
  </si>
  <si>
    <t>MARTA</t>
  </si>
  <si>
    <t>NEIVA</t>
  </si>
  <si>
    <t>SILVIA</t>
  </si>
  <si>
    <t>TATYANA</t>
  </si>
  <si>
    <t>THIAGO</t>
  </si>
  <si>
    <t xml:space="preserve">FERNANDA </t>
  </si>
  <si>
    <t>MOHE</t>
  </si>
  <si>
    <t>VIOTR</t>
  </si>
  <si>
    <t>GERENTE</t>
  </si>
  <si>
    <t>UNIDADES</t>
  </si>
  <si>
    <t>VUSTER TESTE</t>
  </si>
  <si>
    <t>XX</t>
  </si>
  <si>
    <t>Soma de VGV</t>
  </si>
  <si>
    <t>Valores</t>
  </si>
  <si>
    <t>Soma de Vendas</t>
  </si>
  <si>
    <t>mês</t>
  </si>
  <si>
    <t>Ano</t>
  </si>
  <si>
    <t>Tipo de Venda</t>
  </si>
  <si>
    <t>REVENDA</t>
  </si>
  <si>
    <t>DIRETA</t>
  </si>
  <si>
    <t>TERCEIROS</t>
  </si>
  <si>
    <t>HANNAH</t>
  </si>
  <si>
    <t>HORTENCIA</t>
  </si>
  <si>
    <t>ANDREYA</t>
  </si>
  <si>
    <t>ANSELMO</t>
  </si>
  <si>
    <t>SUZUKI</t>
  </si>
  <si>
    <t>DENNIS</t>
  </si>
  <si>
    <t>EDSON</t>
  </si>
  <si>
    <t>IMOB. T. - FALCÃO</t>
  </si>
  <si>
    <t>Estilo Venda</t>
  </si>
  <si>
    <t>ESTOQUE</t>
  </si>
  <si>
    <t>LANÇAMENTO</t>
  </si>
  <si>
    <t>Sati</t>
  </si>
  <si>
    <t>Comissão Access</t>
  </si>
  <si>
    <t>Coord. Access</t>
  </si>
  <si>
    <t>Coord. Access Comissão</t>
  </si>
  <si>
    <t>Comissão Gerente</t>
  </si>
  <si>
    <t>Premio Gerente</t>
  </si>
  <si>
    <t>Comissão Corretor</t>
  </si>
  <si>
    <t>Premio Corretor</t>
  </si>
  <si>
    <t>PV</t>
  </si>
  <si>
    <t>Coord. Online</t>
  </si>
  <si>
    <t>Comissão Coord. Online</t>
  </si>
  <si>
    <t>Codigo Sap</t>
  </si>
  <si>
    <t>Codgo Sap</t>
  </si>
  <si>
    <t>Diretor Comissão</t>
  </si>
  <si>
    <t>Diretor Premio</t>
  </si>
  <si>
    <t>Data</t>
  </si>
  <si>
    <t>FRED</t>
  </si>
  <si>
    <t>Distrato</t>
  </si>
  <si>
    <t>Data Distrato</t>
  </si>
  <si>
    <t>IMOB. T. - ROSE</t>
  </si>
  <si>
    <t>IMOB. T. - HUDSON</t>
  </si>
  <si>
    <t>LOURENÇO</t>
  </si>
  <si>
    <t>ATILIO</t>
  </si>
  <si>
    <t>CRISTIANE</t>
  </si>
  <si>
    <t>Soma de Gerente</t>
  </si>
  <si>
    <t>QUEIROZ</t>
  </si>
  <si>
    <t>SUELI</t>
  </si>
  <si>
    <t>IMOB. T. - BLUMA</t>
  </si>
  <si>
    <t>GUSTAVO</t>
  </si>
  <si>
    <t>ROGERIO</t>
  </si>
  <si>
    <t>Colunas1</t>
  </si>
  <si>
    <t>MATHEUS(1)</t>
  </si>
  <si>
    <t>MATILDES</t>
  </si>
  <si>
    <t>FELIPE</t>
  </si>
  <si>
    <t>ANTUNIETA</t>
  </si>
  <si>
    <t>Contar de Vendas</t>
  </si>
  <si>
    <t>JORGE</t>
  </si>
  <si>
    <t>Observações da Venda</t>
  </si>
  <si>
    <t>BRUNA</t>
  </si>
  <si>
    <t xml:space="preserve">NOVA AMERICA </t>
  </si>
  <si>
    <t>BIANCO</t>
  </si>
  <si>
    <t xml:space="preserve">AQUARELLE </t>
  </si>
  <si>
    <t>VALENTINA</t>
  </si>
  <si>
    <t>VAZ</t>
  </si>
  <si>
    <t>Acácia</t>
  </si>
  <si>
    <t>Acqua</t>
  </si>
  <si>
    <t>Amarilis</t>
  </si>
  <si>
    <t>Amizade</t>
  </si>
  <si>
    <t>Andiroba</t>
  </si>
  <si>
    <t>Belle Ville</t>
  </si>
  <si>
    <t>Brisa</t>
  </si>
  <si>
    <t>Cambuí</t>
  </si>
  <si>
    <t>Carvalho</t>
  </si>
  <si>
    <t>Cedro</t>
  </si>
  <si>
    <t>Condessa</t>
  </si>
  <si>
    <t>Coral</t>
  </si>
  <si>
    <t>Duquesa</t>
  </si>
  <si>
    <t>Eucalipto</t>
  </si>
  <si>
    <t>Felicidade</t>
  </si>
  <si>
    <t>Figueira</t>
  </si>
  <si>
    <t>Flamboyant</t>
  </si>
  <si>
    <t>Alameda das Flores</t>
  </si>
  <si>
    <t>Ipê</t>
  </si>
  <si>
    <t>Jequitibá</t>
  </si>
  <si>
    <t>Lirio</t>
  </si>
  <si>
    <t>Luna</t>
  </si>
  <si>
    <t>Magnolia</t>
  </si>
  <si>
    <t>Olive</t>
  </si>
  <si>
    <t>Oliveira</t>
  </si>
  <si>
    <t>Caminho dos Passaros</t>
  </si>
  <si>
    <t>Pitangueira</t>
  </si>
  <si>
    <t>Solar</t>
  </si>
  <si>
    <t>Verte</t>
  </si>
  <si>
    <t>Class Varanda Mariana</t>
  </si>
  <si>
    <t>COSMOPOLITAN HIGH GARDEN</t>
  </si>
  <si>
    <t>Cosmopolitan High Garden</t>
  </si>
  <si>
    <t>Estilo Jardins</t>
  </si>
  <si>
    <t>Gallery Offices</t>
  </si>
  <si>
    <t>HOST PARAÍSO</t>
  </si>
  <si>
    <t>NEW STATION VILA CLEMENTINO</t>
  </si>
  <si>
    <t>New Station</t>
  </si>
  <si>
    <t>NOVO JARDIM VIP</t>
  </si>
  <si>
    <t>NOW ALTO DA BOA VISTA</t>
  </si>
  <si>
    <t>NOW Alto da Boa Vista</t>
  </si>
  <si>
    <t>PASSEIO DO BOSQUE - BONFIGLIOLI</t>
  </si>
  <si>
    <t>Piazza Suprema</t>
  </si>
  <si>
    <t>STATION OFFICES SAÚDE</t>
  </si>
  <si>
    <t>Tons da Villa</t>
  </si>
  <si>
    <t>VILLA VARANDA</t>
  </si>
  <si>
    <t>Villa Varanda</t>
  </si>
  <si>
    <t>Aroeira</t>
  </si>
  <si>
    <t>AVANTI CLUBE</t>
  </si>
  <si>
    <t>ARES DO PARQUE ACLIMAÇÃO</t>
  </si>
  <si>
    <t>Ares do Parque Aclimação</t>
  </si>
  <si>
    <t>Buriti</t>
  </si>
  <si>
    <t>Vaga Extra</t>
  </si>
  <si>
    <t>00203M</t>
  </si>
  <si>
    <t>00220G</t>
  </si>
  <si>
    <t>00223M</t>
  </si>
  <si>
    <t>00132G</t>
  </si>
  <si>
    <t>00138G</t>
  </si>
  <si>
    <t>00201M</t>
  </si>
  <si>
    <t xml:space="preserve">00226G </t>
  </si>
  <si>
    <t>0051P</t>
  </si>
  <si>
    <t>0050G</t>
  </si>
  <si>
    <t>Decor Paraíso</t>
  </si>
  <si>
    <t>FAMÍLIA IPIRANGA</t>
  </si>
  <si>
    <t>00375G</t>
  </si>
  <si>
    <t>00487G</t>
  </si>
  <si>
    <t>00488G</t>
  </si>
  <si>
    <t>00009A</t>
  </si>
  <si>
    <t>VIVA</t>
  </si>
  <si>
    <t>Topazio</t>
  </si>
  <si>
    <t>Host Paraíso</t>
  </si>
  <si>
    <t>135G</t>
  </si>
  <si>
    <t>RENATO</t>
  </si>
  <si>
    <t>MERIDIANO</t>
  </si>
  <si>
    <t>Meridiano</t>
  </si>
  <si>
    <t>ANA</t>
  </si>
  <si>
    <t>GIULIANO</t>
  </si>
  <si>
    <t>ARIANE</t>
  </si>
  <si>
    <t>KELI</t>
  </si>
  <si>
    <t>IMOB. T. - FERNANDO</t>
  </si>
  <si>
    <t>IMOB. T. - MAX</t>
  </si>
  <si>
    <t>IMOB. T. - MACHADO</t>
  </si>
  <si>
    <t>Pagadoria</t>
  </si>
  <si>
    <t>New Station Vila Clementino</t>
  </si>
  <si>
    <t>131P</t>
  </si>
  <si>
    <t>ANDRE</t>
  </si>
  <si>
    <t>BOULEVARD LAPA</t>
  </si>
  <si>
    <t>Origens Lapa</t>
  </si>
  <si>
    <t>Laços da Lapa</t>
  </si>
  <si>
    <t>AMANDA</t>
  </si>
  <si>
    <t>CLARA</t>
  </si>
  <si>
    <t>Access</t>
  </si>
  <si>
    <t>Seller</t>
  </si>
  <si>
    <t>Lopes</t>
  </si>
  <si>
    <t>Boulevard Lapa</t>
  </si>
  <si>
    <t>Venda Interna</t>
  </si>
  <si>
    <t>unidade</t>
  </si>
  <si>
    <t>Empresa</t>
  </si>
  <si>
    <t>vgv</t>
  </si>
  <si>
    <t>ALVARO</t>
  </si>
  <si>
    <t>FERRARI</t>
  </si>
  <si>
    <t>PEIXOTO</t>
  </si>
  <si>
    <t xml:space="preserve">Oliveira </t>
  </si>
  <si>
    <t>RODRIGUES</t>
  </si>
  <si>
    <t>47G</t>
  </si>
  <si>
    <t>NOW STUDIOS IPIRANGA</t>
  </si>
  <si>
    <t>Now Studios Ipiranga</t>
  </si>
  <si>
    <t>HUDSON/COELHO</t>
  </si>
  <si>
    <t>TALES</t>
  </si>
  <si>
    <t>SERGIO</t>
  </si>
  <si>
    <t>NIL</t>
  </si>
  <si>
    <t>MYUNG</t>
  </si>
  <si>
    <t>MAIA</t>
  </si>
  <si>
    <t>CLAUDIO</t>
  </si>
  <si>
    <t>LUIZ</t>
  </si>
  <si>
    <t>LIZ</t>
  </si>
  <si>
    <t>MICHEL</t>
  </si>
  <si>
    <t>CLEO</t>
  </si>
  <si>
    <t>MARRONE</t>
  </si>
  <si>
    <t>EMILIO</t>
  </si>
  <si>
    <t>SIMONE</t>
  </si>
  <si>
    <t>SUSANA</t>
  </si>
  <si>
    <t>LEONEL</t>
  </si>
  <si>
    <t>PADUA</t>
  </si>
  <si>
    <t>MATIAS</t>
  </si>
  <si>
    <t>Única</t>
  </si>
  <si>
    <t>ESCRITÓRIO SANTANA</t>
  </si>
  <si>
    <t>Escritório Santana</t>
  </si>
  <si>
    <t>CAIO</t>
  </si>
  <si>
    <t>JANAINA</t>
  </si>
  <si>
    <t>NEUZZA</t>
  </si>
  <si>
    <t>CRISTINA</t>
  </si>
  <si>
    <t>JOÃO</t>
  </si>
  <si>
    <t>Station Offices Saúde</t>
  </si>
  <si>
    <t>NOGUEIRA</t>
  </si>
  <si>
    <t>Estoque</t>
  </si>
  <si>
    <t>Lançamento</t>
  </si>
  <si>
    <t>Revenda</t>
  </si>
  <si>
    <t>SHARE - 2013</t>
  </si>
  <si>
    <t>ACCESS</t>
  </si>
  <si>
    <t>TOTAL VENDAS - MAC MÊS</t>
  </si>
  <si>
    <t>%</t>
  </si>
  <si>
    <t>JULHO</t>
  </si>
  <si>
    <t>AGOSTO</t>
  </si>
  <si>
    <t>SETEMBRO</t>
  </si>
  <si>
    <t>OUTUBRO</t>
  </si>
  <si>
    <t>NOVEMBRO</t>
  </si>
  <si>
    <t>DEZEMBRO</t>
  </si>
  <si>
    <t>MARINA</t>
  </si>
  <si>
    <t>JANEIRO</t>
  </si>
  <si>
    <t>FEVEREIRO</t>
  </si>
  <si>
    <t>MARÇO</t>
  </si>
  <si>
    <t>ABRIL</t>
  </si>
  <si>
    <t>MAIO</t>
  </si>
  <si>
    <t>JUNHO</t>
  </si>
  <si>
    <t>CAITANO</t>
  </si>
  <si>
    <t>MADONA</t>
  </si>
  <si>
    <t>Novo Jardim Vip</t>
  </si>
  <si>
    <t>WILLIAM</t>
  </si>
  <si>
    <t/>
  </si>
  <si>
    <t>44 - G</t>
  </si>
  <si>
    <t>Iris</t>
  </si>
  <si>
    <t>ERNESTO</t>
  </si>
  <si>
    <t>ISABEL</t>
  </si>
  <si>
    <t>Grand Total</t>
  </si>
  <si>
    <t>(All)</t>
  </si>
  <si>
    <t>Row Labels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</si>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</sst>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3" formatCode="_(* #,##0.00_);_(* \(#,##0.00\);_(* &quot;-&quot;??_);_(@_)"/>
    <numFmt numFmtId="164" formatCode="_-&quot;R$&quot;\ * #,##0.00_-;\-&quot;R$&quot;\ * #,##0.00_-;_-&quot;R$&quot;\ * &quot;-&quot;??_-;_-@_-"/>
    <numFmt numFmtId="165" formatCode="_-* #,##0.00_-;\-* #,##0.00_-;_-* &quot;-&quot;??_-;_-@_-"/>
    <numFmt numFmtId="166" formatCode="_(&quot;R$ &quot;* #,##0.00_);_(&quot;R$ &quot;* \(#,##0.00\);_(&quot;R$ &quot;* &quot;-&quot;??_);_(@_)"/>
    <numFmt numFmtId="167" formatCode="0.0"/>
    <numFmt numFmtId="168" formatCode="#,##0.0_);\(#,##0.0\)"/>
    <numFmt numFmtId="169" formatCode="0.000"/>
    <numFmt numFmtId="170" formatCode="0.0000"/>
    <numFmt numFmtId="171" formatCode="_(* #,##0_);_(* \(#,##0\);_(* &quot;-&quot;??_);_(@_)"/>
    <numFmt numFmtId="172" formatCode="0_);\(0\)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31849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99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8">
    <xf numFmtId="0" fontId="0" fillId="0" borderId="0"/>
    <xf numFmtId="166" fontId="1" fillId="0" borderId="0" applyFont="0" applyFill="0" applyBorder="0" applyAlignment="0" applyProtection="0"/>
    <xf numFmtId="0" fontId="4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98">
    <xf numFmtId="0" fontId="0" fillId="0" borderId="0" xfId="0"/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Border="1"/>
    <xf numFmtId="4" fontId="0" fillId="0" borderId="0" xfId="0" applyNumberFormat="1" applyBorder="1"/>
    <xf numFmtId="43" fontId="0" fillId="0" borderId="0" xfId="0" applyNumberFormat="1"/>
    <xf numFmtId="4" fontId="0" fillId="0" borderId="0" xfId="0" applyNumberFormat="1"/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4" fontId="0" fillId="3" borderId="1" xfId="0" applyNumberFormat="1" applyFont="1" applyFill="1" applyBorder="1" applyAlignment="1">
      <alignment horizontal="center"/>
    </xf>
    <xf numFmtId="43" fontId="1" fillId="3" borderId="1" xfId="3" applyFont="1" applyFill="1" applyBorder="1" applyAlignment="1">
      <alignment horizontal="center"/>
    </xf>
    <xf numFmtId="0" fontId="0" fillId="0" borderId="1" xfId="0" applyBorder="1"/>
    <xf numFmtId="14" fontId="0" fillId="3" borderId="1" xfId="0" applyNumberForma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65" fontId="0" fillId="0" borderId="0" xfId="0" applyNumberFormat="1"/>
    <xf numFmtId="0" fontId="0" fillId="0" borderId="1" xfId="0" applyFill="1" applyBorder="1" applyAlignment="1">
      <alignment horizontal="left"/>
    </xf>
    <xf numFmtId="4" fontId="0" fillId="0" borderId="1" xfId="0" applyNumberFormat="1" applyBorder="1" applyAlignment="1"/>
    <xf numFmtId="14" fontId="0" fillId="3" borderId="1" xfId="0" applyNumberFormat="1" applyFill="1" applyBorder="1" applyAlignment="1">
      <alignment horizontal="left" vertical="center"/>
    </xf>
    <xf numFmtId="43" fontId="2" fillId="5" borderId="1" xfId="0" applyNumberFormat="1" applyFont="1" applyFill="1" applyBorder="1" applyAlignment="1">
      <alignment horizontal="left" vertical="center"/>
    </xf>
    <xf numFmtId="4" fontId="2" fillId="5" borderId="1" xfId="0" applyNumberFormat="1" applyFont="1" applyFill="1" applyBorder="1" applyAlignment="1">
      <alignment horizontal="right"/>
    </xf>
    <xf numFmtId="14" fontId="0" fillId="3" borderId="1" xfId="0" applyNumberFormat="1" applyFill="1" applyBorder="1" applyAlignment="1"/>
    <xf numFmtId="4" fontId="1" fillId="3" borderId="1" xfId="3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0" fontId="0" fillId="0" borderId="0" xfId="0" applyFill="1" applyBorder="1"/>
    <xf numFmtId="0" fontId="3" fillId="6" borderId="1" xfId="0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4" fontId="3" fillId="6" borderId="1" xfId="0" applyNumberFormat="1" applyFont="1" applyFill="1" applyBorder="1"/>
    <xf numFmtId="4" fontId="3" fillId="6" borderId="1" xfId="0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167" fontId="1" fillId="3" borderId="1" xfId="3" applyNumberFormat="1" applyFont="1" applyFill="1" applyBorder="1" applyAlignment="1">
      <alignment horizontal="center"/>
    </xf>
    <xf numFmtId="1" fontId="0" fillId="0" borderId="0" xfId="0" applyNumberFormat="1"/>
    <xf numFmtId="4" fontId="3" fillId="3" borderId="1" xfId="0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/>
    </xf>
    <xf numFmtId="4" fontId="1" fillId="3" borderId="1" xfId="3" applyNumberFormat="1" applyFont="1" applyFill="1" applyBorder="1" applyAlignment="1"/>
    <xf numFmtId="1" fontId="0" fillId="3" borderId="1" xfId="0" applyNumberFormat="1" applyFont="1" applyFill="1" applyBorder="1" applyAlignment="1">
      <alignment horizontal="center"/>
    </xf>
    <xf numFmtId="14" fontId="3" fillId="3" borderId="1" xfId="0" applyNumberFormat="1" applyFont="1" applyFill="1" applyBorder="1" applyAlignment="1">
      <alignment horizontal="center" vertical="center"/>
    </xf>
    <xf numFmtId="167" fontId="0" fillId="3" borderId="1" xfId="0" applyNumberFormat="1" applyFon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/>
    </xf>
    <xf numFmtId="4" fontId="0" fillId="3" borderId="1" xfId="0" applyNumberFormat="1" applyFont="1" applyFill="1" applyBorder="1" applyAlignment="1">
      <alignment horizontal="center" vertical="center"/>
    </xf>
    <xf numFmtId="167" fontId="0" fillId="0" borderId="1" xfId="0" applyNumberFormat="1" applyBorder="1" applyAlignment="1">
      <alignment horizontal="right"/>
    </xf>
    <xf numFmtId="37" fontId="0" fillId="0" borderId="0" xfId="0" applyNumberFormat="1"/>
    <xf numFmtId="168" fontId="3" fillId="3" borderId="1" xfId="0" applyNumberFormat="1" applyFont="1" applyFill="1" applyBorder="1" applyAlignment="1">
      <alignment horizontal="center" vertical="center"/>
    </xf>
    <xf numFmtId="14" fontId="2" fillId="5" borderId="1" xfId="0" applyNumberFormat="1" applyFont="1" applyFill="1" applyBorder="1" applyAlignment="1">
      <alignment horizontal="center" vertical="center"/>
    </xf>
    <xf numFmtId="168" fontId="2" fillId="5" borderId="1" xfId="0" applyNumberFormat="1" applyFont="1" applyFill="1" applyBorder="1" applyAlignment="1">
      <alignment horizontal="center" vertical="center"/>
    </xf>
    <xf numFmtId="4" fontId="2" fillId="5" borderId="1" xfId="0" applyNumberFormat="1" applyFont="1" applyFill="1" applyBorder="1" applyAlignment="1">
      <alignment horizontal="center" vertical="center"/>
    </xf>
    <xf numFmtId="167" fontId="0" fillId="0" borderId="0" xfId="0" applyNumberFormat="1"/>
    <xf numFmtId="14" fontId="0" fillId="3" borderId="0" xfId="0" applyNumberFormat="1" applyFill="1" applyBorder="1" applyAlignment="1">
      <alignment horizontal="center"/>
    </xf>
    <xf numFmtId="0" fontId="0" fillId="0" borderId="0" xfId="0" applyBorder="1" applyAlignment="1">
      <alignment vertical="center"/>
    </xf>
    <xf numFmtId="0" fontId="2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167" fontId="3" fillId="3" borderId="0" xfId="0" applyNumberFormat="1" applyFont="1" applyFill="1" applyBorder="1" applyAlignment="1">
      <alignment horizontal="center" vertical="center"/>
    </xf>
    <xf numFmtId="43" fontId="3" fillId="3" borderId="0" xfId="0" applyNumberFormat="1" applyFont="1" applyFill="1" applyBorder="1" applyAlignment="1">
      <alignment horizontal="center" vertical="center"/>
    </xf>
    <xf numFmtId="43" fontId="2" fillId="3" borderId="0" xfId="0" applyNumberFormat="1" applyFont="1" applyFill="1" applyBorder="1" applyAlignment="1">
      <alignment horizontal="left" vertical="center"/>
    </xf>
    <xf numFmtId="1" fontId="2" fillId="3" borderId="0" xfId="0" applyNumberFormat="1" applyFont="1" applyFill="1" applyBorder="1" applyAlignment="1">
      <alignment horizontal="center"/>
    </xf>
    <xf numFmtId="4" fontId="2" fillId="3" borderId="0" xfId="0" applyNumberFormat="1" applyFont="1" applyFill="1" applyBorder="1" applyAlignment="1">
      <alignment horizontal="right"/>
    </xf>
    <xf numFmtId="4" fontId="0" fillId="3" borderId="1" xfId="0" applyNumberFormat="1" applyFill="1" applyBorder="1" applyAlignment="1">
      <alignment horizontal="right"/>
    </xf>
    <xf numFmtId="2" fontId="0" fillId="3" borderId="1" xfId="0" applyNumberFormat="1" applyFont="1" applyFill="1" applyBorder="1" applyAlignment="1">
      <alignment horizontal="center" vertical="center"/>
    </xf>
    <xf numFmtId="2" fontId="1" fillId="3" borderId="1" xfId="3" applyNumberFormat="1" applyFont="1" applyFill="1" applyBorder="1" applyAlignment="1">
      <alignment horizontal="center"/>
    </xf>
    <xf numFmtId="14" fontId="0" fillId="3" borderId="1" xfId="0" applyNumberFormat="1" applyFill="1" applyBorder="1" applyAlignment="1">
      <alignment horizontal="left"/>
    </xf>
    <xf numFmtId="2" fontId="0" fillId="0" borderId="0" xfId="0" applyNumberFormat="1"/>
    <xf numFmtId="0" fontId="3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vertical="center"/>
    </xf>
    <xf numFmtId="167" fontId="0" fillId="3" borderId="1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vertical="center"/>
    </xf>
    <xf numFmtId="167" fontId="0" fillId="3" borderId="1" xfId="0" applyNumberFormat="1" applyFill="1" applyBorder="1" applyAlignment="1">
      <alignment horizontal="center"/>
    </xf>
    <xf numFmtId="2" fontId="2" fillId="5" borderId="1" xfId="0" applyNumberFormat="1" applyFont="1" applyFill="1" applyBorder="1" applyAlignment="1">
      <alignment horizontal="center"/>
    </xf>
    <xf numFmtId="169" fontId="0" fillId="3" borderId="1" xfId="0" applyNumberFormat="1" applyFont="1" applyFill="1" applyBorder="1" applyAlignment="1">
      <alignment horizontal="center" vertical="center"/>
    </xf>
    <xf numFmtId="169" fontId="0" fillId="3" borderId="1" xfId="0" applyNumberFormat="1" applyFill="1" applyBorder="1" applyAlignment="1">
      <alignment horizontal="center" vertical="center"/>
    </xf>
    <xf numFmtId="169" fontId="0" fillId="3" borderId="1" xfId="0" applyNumberFormat="1" applyFont="1" applyFill="1" applyBorder="1" applyAlignment="1">
      <alignment horizontal="center"/>
    </xf>
    <xf numFmtId="0" fontId="0" fillId="0" borderId="1" xfId="0" applyFill="1" applyBorder="1"/>
    <xf numFmtId="169" fontId="3" fillId="6" borderId="1" xfId="0" applyNumberFormat="1" applyFont="1" applyFill="1" applyBorder="1" applyAlignment="1">
      <alignment horizontal="center"/>
    </xf>
    <xf numFmtId="169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/>
    <xf numFmtId="2" fontId="3" fillId="6" borderId="1" xfId="0" applyNumberFormat="1" applyFont="1" applyFill="1" applyBorder="1" applyAlignment="1">
      <alignment horizontal="center"/>
    </xf>
    <xf numFmtId="167" fontId="0" fillId="0" borderId="1" xfId="0" applyNumberFormat="1" applyBorder="1"/>
    <xf numFmtId="43" fontId="0" fillId="0" borderId="1" xfId="0" applyNumberFormat="1" applyBorder="1"/>
    <xf numFmtId="43" fontId="0" fillId="0" borderId="1" xfId="0" applyNumberFormat="1" applyBorder="1" applyAlignment="1">
      <alignment horizontal="right"/>
    </xf>
    <xf numFmtId="4" fontId="3" fillId="6" borderId="1" xfId="0" applyNumberFormat="1" applyFont="1" applyFill="1" applyBorder="1" applyAlignment="1">
      <alignment horizontal="right"/>
    </xf>
    <xf numFmtId="0" fontId="0" fillId="0" borderId="1" xfId="0" applyFont="1" applyFill="1" applyBorder="1" applyAlignment="1">
      <alignment horizontal="center"/>
    </xf>
    <xf numFmtId="0" fontId="0" fillId="0" borderId="2" xfId="0" applyFill="1" applyBorder="1" applyAlignment="1">
      <alignment horizontal="left"/>
    </xf>
    <xf numFmtId="4" fontId="1" fillId="3" borderId="1" xfId="3" applyNumberFormat="1" applyFont="1" applyFill="1" applyBorder="1" applyAlignment="1">
      <alignment horizontal="center"/>
    </xf>
    <xf numFmtId="4" fontId="0" fillId="3" borderId="1" xfId="0" applyNumberFormat="1" applyFill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43" fontId="1" fillId="3" borderId="1" xfId="3" applyFont="1" applyFill="1" applyBorder="1" applyAlignment="1"/>
    <xf numFmtId="43" fontId="3" fillId="6" borderId="1" xfId="0" applyNumberFormat="1" applyFont="1" applyFill="1" applyBorder="1"/>
    <xf numFmtId="0" fontId="0" fillId="3" borderId="1" xfId="0" applyFill="1" applyBorder="1"/>
    <xf numFmtId="43" fontId="1" fillId="3" borderId="0" xfId="3" applyFont="1" applyFill="1" applyBorder="1" applyAlignment="1">
      <alignment horizontal="center"/>
    </xf>
    <xf numFmtId="4" fontId="0" fillId="3" borderId="1" xfId="0" applyNumberFormat="1" applyFill="1" applyBorder="1" applyProtection="1">
      <protection locked="0"/>
    </xf>
    <xf numFmtId="43" fontId="5" fillId="3" borderId="0" xfId="0" applyNumberFormat="1" applyFont="1" applyFill="1"/>
    <xf numFmtId="167" fontId="5" fillId="3" borderId="0" xfId="0" applyNumberFormat="1" applyFont="1" applyFill="1"/>
    <xf numFmtId="1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43" fontId="0" fillId="3" borderId="1" xfId="3" applyFont="1" applyFill="1" applyBorder="1" applyAlignment="1">
      <alignment horizontal="center"/>
    </xf>
    <xf numFmtId="167" fontId="3" fillId="6" borderId="1" xfId="0" applyNumberFormat="1" applyFont="1" applyFill="1" applyBorder="1" applyAlignment="1">
      <alignment horizontal="center"/>
    </xf>
    <xf numFmtId="0" fontId="0" fillId="0" borderId="1" xfId="0" applyBorder="1" applyAlignment="1"/>
    <xf numFmtId="0" fontId="3" fillId="6" borderId="1" xfId="0" applyFont="1" applyFill="1" applyBorder="1"/>
    <xf numFmtId="0" fontId="0" fillId="6" borderId="1" xfId="0" applyFill="1" applyBorder="1"/>
    <xf numFmtId="4" fontId="0" fillId="0" borderId="1" xfId="0" applyNumberFormat="1" applyBorder="1" applyAlignment="1">
      <alignment horizontal="right"/>
    </xf>
    <xf numFmtId="43" fontId="1" fillId="3" borderId="1" xfId="3" applyFont="1" applyFill="1" applyBorder="1" applyAlignment="1">
      <alignment horizontal="right"/>
    </xf>
    <xf numFmtId="4" fontId="0" fillId="3" borderId="1" xfId="3" applyNumberFormat="1" applyFont="1" applyFill="1" applyBorder="1" applyAlignment="1">
      <alignment horizontal="center"/>
    </xf>
    <xf numFmtId="2" fontId="3" fillId="0" borderId="0" xfId="0" applyNumberFormat="1" applyFont="1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0" fillId="6" borderId="1" xfId="0" applyFill="1" applyBorder="1" applyAlignment="1">
      <alignment horizontal="center"/>
    </xf>
    <xf numFmtId="1" fontId="0" fillId="6" borderId="1" xfId="0" applyNumberFormat="1" applyFont="1" applyFill="1" applyBorder="1" applyAlignment="1">
      <alignment horizontal="center"/>
    </xf>
    <xf numFmtId="14" fontId="0" fillId="6" borderId="1" xfId="0" applyNumberFormat="1" applyFont="1" applyFill="1" applyBorder="1" applyAlignment="1">
      <alignment horizontal="center"/>
    </xf>
    <xf numFmtId="43" fontId="1" fillId="6" borderId="1" xfId="3" applyFont="1" applyFill="1" applyBorder="1" applyAlignment="1">
      <alignment horizontal="center"/>
    </xf>
    <xf numFmtId="167" fontId="1" fillId="6" borderId="1" xfId="3" applyNumberFormat="1" applyFont="1" applyFill="1" applyBorder="1" applyAlignment="1">
      <alignment horizontal="center"/>
    </xf>
    <xf numFmtId="14" fontId="0" fillId="6" borderId="1" xfId="0" applyNumberFormat="1" applyFill="1" applyBorder="1" applyAlignment="1">
      <alignment horizontal="center"/>
    </xf>
    <xf numFmtId="1" fontId="0" fillId="6" borderId="1" xfId="0" applyNumberFormat="1" applyFill="1" applyBorder="1" applyAlignment="1">
      <alignment horizontal="center"/>
    </xf>
    <xf numFmtId="2" fontId="1" fillId="6" borderId="1" xfId="3" applyNumberFormat="1" applyFon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right"/>
    </xf>
    <xf numFmtId="0" fontId="0" fillId="0" borderId="6" xfId="0" applyBorder="1"/>
    <xf numFmtId="43" fontId="3" fillId="0" borderId="0" xfId="3" applyFont="1" applyFill="1" applyBorder="1"/>
    <xf numFmtId="14" fontId="0" fillId="0" borderId="1" xfId="0" applyNumberFormat="1" applyBorder="1"/>
    <xf numFmtId="4" fontId="0" fillId="0" borderId="1" xfId="0" applyNumberFormat="1" applyBorder="1"/>
    <xf numFmtId="170" fontId="0" fillId="0" borderId="1" xfId="0" applyNumberFormat="1" applyBorder="1"/>
    <xf numFmtId="1" fontId="0" fillId="0" borderId="1" xfId="0" applyNumberFormat="1" applyBorder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7" xfId="0" applyBorder="1" applyAlignment="1"/>
    <xf numFmtId="0" fontId="0" fillId="0" borderId="6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0" xfId="0" applyBorder="1" applyAlignment="1"/>
    <xf numFmtId="0" fontId="0" fillId="0" borderId="5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  <xf numFmtId="170" fontId="3" fillId="6" borderId="1" xfId="0" applyNumberFormat="1" applyFont="1" applyFill="1" applyBorder="1"/>
    <xf numFmtId="2" fontId="3" fillId="6" borderId="1" xfId="0" applyNumberFormat="1" applyFont="1" applyFill="1" applyBorder="1"/>
    <xf numFmtId="4" fontId="0" fillId="3" borderId="1" xfId="0" applyNumberFormat="1" applyFill="1" applyBorder="1"/>
    <xf numFmtId="0" fontId="3" fillId="6" borderId="1" xfId="0" applyFont="1" applyFill="1" applyBorder="1" applyAlignment="1">
      <alignment horizontal="center"/>
    </xf>
    <xf numFmtId="169" fontId="0" fillId="0" borderId="0" xfId="0" applyNumberFormat="1"/>
    <xf numFmtId="0" fontId="0" fillId="0" borderId="0" xfId="0" applyAlignment="1">
      <alignment horizontal="left" indent="1"/>
    </xf>
    <xf numFmtId="171" fontId="0" fillId="0" borderId="0" xfId="0" applyNumberFormat="1" applyAlignment="1">
      <alignment horizontal="left"/>
    </xf>
    <xf numFmtId="0" fontId="0" fillId="0" borderId="0" xfId="0" applyAlignment="1">
      <alignment horizontal="left" indent="2"/>
    </xf>
    <xf numFmtId="171" fontId="0" fillId="0" borderId="0" xfId="0" applyNumberFormat="1" applyAlignment="1">
      <alignment horizontal="left" indent="1"/>
    </xf>
    <xf numFmtId="43" fontId="0" fillId="0" borderId="0" xfId="4" applyFont="1"/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/>
    <xf numFmtId="0" fontId="8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/>
    <xf numFmtId="1" fontId="7" fillId="0" borderId="0" xfId="0" applyNumberFormat="1" applyFont="1" applyFill="1" applyBorder="1" applyAlignment="1">
      <alignment horizontal="center"/>
    </xf>
    <xf numFmtId="14" fontId="7" fillId="0" borderId="0" xfId="0" applyNumberFormat="1" applyFont="1" applyFill="1" applyBorder="1" applyAlignment="1">
      <alignment horizontal="center"/>
    </xf>
    <xf numFmtId="43" fontId="7" fillId="0" borderId="0" xfId="3" applyFont="1" applyFill="1" applyBorder="1" applyAlignment="1">
      <alignment horizontal="center"/>
    </xf>
    <xf numFmtId="167" fontId="7" fillId="0" borderId="0" xfId="3" applyNumberFormat="1" applyFont="1" applyFill="1" applyBorder="1" applyAlignment="1">
      <alignment horizontal="center"/>
    </xf>
    <xf numFmtId="171" fontId="7" fillId="0" borderId="0" xfId="3" applyNumberFormat="1" applyFont="1" applyFill="1" applyBorder="1" applyAlignment="1">
      <alignment horizontal="center"/>
    </xf>
    <xf numFmtId="2" fontId="7" fillId="0" borderId="0" xfId="3" applyNumberFormat="1" applyFont="1" applyFill="1" applyBorder="1" applyAlignment="1">
      <alignment horizontal="center"/>
    </xf>
    <xf numFmtId="172" fontId="7" fillId="0" borderId="0" xfId="3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left" vertical="center"/>
    </xf>
    <xf numFmtId="43" fontId="7" fillId="0" borderId="0" xfId="3" applyFont="1" applyFill="1" applyBorder="1" applyAlignment="1"/>
    <xf numFmtId="0" fontId="7" fillId="0" borderId="0" xfId="0" applyFont="1" applyFill="1" applyBorder="1" applyAlignment="1">
      <alignment horizontal="center" vertical="center"/>
    </xf>
    <xf numFmtId="14" fontId="7" fillId="0" borderId="0" xfId="0" applyNumberFormat="1" applyFont="1" applyFill="1" applyBorder="1" applyAlignment="1">
      <alignment horizontal="center" vertical="center"/>
    </xf>
    <xf numFmtId="4" fontId="7" fillId="0" borderId="0" xfId="0" applyNumberFormat="1" applyFont="1" applyFill="1" applyBorder="1" applyAlignment="1">
      <alignment vertical="center"/>
    </xf>
    <xf numFmtId="4" fontId="7" fillId="0" borderId="0" xfId="0" applyNumberFormat="1" applyFont="1" applyFill="1" applyBorder="1" applyAlignment="1">
      <alignment horizontal="right"/>
    </xf>
    <xf numFmtId="3" fontId="7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center"/>
    </xf>
    <xf numFmtId="1" fontId="9" fillId="0" borderId="0" xfId="0" applyNumberFormat="1" applyFont="1" applyFill="1" applyBorder="1" applyAlignment="1">
      <alignment horizontal="center"/>
    </xf>
    <xf numFmtId="14" fontId="9" fillId="0" borderId="0" xfId="0" applyNumberFormat="1" applyFont="1" applyFill="1" applyBorder="1" applyAlignment="1">
      <alignment horizontal="center"/>
    </xf>
    <xf numFmtId="43" fontId="9" fillId="0" borderId="0" xfId="3" applyFont="1" applyFill="1" applyBorder="1" applyAlignment="1">
      <alignment horizontal="center"/>
    </xf>
    <xf numFmtId="2" fontId="9" fillId="0" borderId="0" xfId="3" applyNumberFormat="1" applyFont="1" applyFill="1" applyBorder="1" applyAlignment="1">
      <alignment horizontal="center"/>
    </xf>
    <xf numFmtId="171" fontId="9" fillId="0" borderId="0" xfId="3" applyNumberFormat="1" applyFont="1" applyFill="1" applyBorder="1" applyAlignment="1">
      <alignment horizontal="center"/>
    </xf>
    <xf numFmtId="0" fontId="0" fillId="6" borderId="0" xfId="0" applyNumberFormat="1" applyFill="1"/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7" borderId="0" xfId="0" applyFill="1"/>
    <xf numFmtId="4" fontId="0" fillId="7" borderId="0" xfId="6" applyNumberFormat="1" applyFont="1" applyFill="1"/>
    <xf numFmtId="0" fontId="0" fillId="0" borderId="0" xfId="0" applyAlignment="1">
      <alignment horizontal="left"/>
    </xf>
    <xf numFmtId="4" fontId="0" fillId="0" borderId="0" xfId="0" applyNumberFormat="1"/>
    <xf numFmtId="0" fontId="0" fillId="7" borderId="0" xfId="0" applyNumberForma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center"/>
    </xf>
    <xf numFmtId="1" fontId="10" fillId="0" borderId="0" xfId="0" applyNumberFormat="1" applyFont="1" applyFill="1" applyBorder="1" applyAlignment="1">
      <alignment horizontal="center"/>
    </xf>
    <xf numFmtId="14" fontId="10" fillId="0" borderId="0" xfId="0" applyNumberFormat="1" applyFont="1" applyFill="1" applyBorder="1" applyAlignment="1">
      <alignment horizontal="center"/>
    </xf>
    <xf numFmtId="43" fontId="10" fillId="0" borderId="0" xfId="3" applyFont="1" applyFill="1" applyBorder="1" applyAlignment="1">
      <alignment horizontal="center"/>
    </xf>
    <xf numFmtId="2" fontId="10" fillId="0" borderId="0" xfId="3" applyNumberFormat="1" applyFont="1" applyFill="1" applyBorder="1" applyAlignment="1">
      <alignment horizontal="center"/>
    </xf>
    <xf numFmtId="171" fontId="10" fillId="0" borderId="0" xfId="3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" fontId="11" fillId="0" borderId="0" xfId="0" applyNumberFormat="1" applyFont="1" applyFill="1" applyBorder="1" applyAlignment="1">
      <alignment horizontal="center"/>
    </xf>
    <xf numFmtId="43" fontId="11" fillId="0" borderId="0" xfId="3" applyFont="1" applyFill="1" applyBorder="1" applyAlignment="1">
      <alignment horizontal="center"/>
    </xf>
    <xf numFmtId="2" fontId="11" fillId="0" borderId="0" xfId="3" applyNumberFormat="1" applyFont="1" applyFill="1" applyBorder="1" applyAlignment="1">
      <alignment horizontal="center"/>
    </xf>
    <xf numFmtId="171" fontId="11" fillId="0" borderId="0" xfId="3" applyNumberFormat="1" applyFont="1" applyFill="1" applyBorder="1" applyAlignment="1">
      <alignment horizontal="center"/>
    </xf>
    <xf numFmtId="3" fontId="0" fillId="0" borderId="0" xfId="0" applyNumberFormat="1"/>
    <xf numFmtId="0" fontId="0" fillId="8" borderId="1" xfId="0" applyFill="1" applyBorder="1"/>
    <xf numFmtId="0" fontId="0" fillId="9" borderId="1" xfId="0" applyFill="1" applyBorder="1"/>
    <xf numFmtId="0" fontId="3" fillId="0" borderId="1" xfId="0" applyFont="1" applyBorder="1"/>
    <xf numFmtId="0" fontId="0" fillId="10" borderId="1" xfId="0" applyFill="1" applyBorder="1"/>
    <xf numFmtId="0" fontId="0" fillId="0" borderId="0" xfId="0"/>
    <xf numFmtId="0" fontId="3" fillId="0" borderId="0" xfId="0" applyFont="1" applyBorder="1"/>
    <xf numFmtId="0" fontId="0" fillId="0" borderId="0" xfId="0"/>
    <xf numFmtId="0" fontId="0" fillId="0" borderId="0" xfId="0" applyAlignment="1"/>
    <xf numFmtId="0" fontId="3" fillId="11" borderId="19" xfId="0" applyFont="1" applyFill="1" applyBorder="1"/>
    <xf numFmtId="0" fontId="0" fillId="0" borderId="22" xfId="0" applyBorder="1"/>
    <xf numFmtId="0" fontId="0" fillId="0" borderId="16" xfId="0" applyBorder="1"/>
    <xf numFmtId="0" fontId="0" fillId="0" borderId="24" xfId="0" applyBorder="1"/>
    <xf numFmtId="10" fontId="12" fillId="0" borderId="25" xfId="7" applyNumberFormat="1" applyFont="1" applyFill="1" applyBorder="1" applyAlignment="1">
      <alignment horizontal="center"/>
    </xf>
    <xf numFmtId="0" fontId="3" fillId="11" borderId="19" xfId="0" applyFont="1" applyFill="1" applyBorder="1" applyAlignment="1">
      <alignment horizontal="center"/>
    </xf>
    <xf numFmtId="0" fontId="3" fillId="11" borderId="20" xfId="0" applyFont="1" applyFill="1" applyBorder="1" applyAlignment="1">
      <alignment horizontal="center"/>
    </xf>
    <xf numFmtId="0" fontId="3" fillId="11" borderId="21" xfId="0" applyFont="1" applyFill="1" applyBorder="1" applyAlignment="1">
      <alignment horizontal="center"/>
    </xf>
    <xf numFmtId="10" fontId="3" fillId="11" borderId="21" xfId="7" applyNumberFormat="1" applyFont="1" applyFill="1" applyBorder="1" applyAlignment="1">
      <alignment horizontal="center"/>
    </xf>
    <xf numFmtId="3" fontId="0" fillId="3" borderId="12" xfId="0" applyNumberFormat="1" applyFont="1" applyFill="1" applyBorder="1" applyAlignment="1">
      <alignment horizontal="right"/>
    </xf>
    <xf numFmtId="3" fontId="0" fillId="3" borderId="4" xfId="0" applyNumberFormat="1" applyFont="1" applyFill="1" applyBorder="1" applyAlignment="1">
      <alignment horizontal="right"/>
    </xf>
    <xf numFmtId="3" fontId="3" fillId="11" borderId="20" xfId="0" applyNumberFormat="1" applyFont="1" applyFill="1" applyBorder="1"/>
    <xf numFmtId="3" fontId="0" fillId="3" borderId="23" xfId="0" applyNumberFormat="1" applyFont="1" applyFill="1" applyBorder="1" applyAlignment="1">
      <alignment horizontal="center"/>
    </xf>
    <xf numFmtId="3" fontId="0" fillId="3" borderId="1" xfId="0" applyNumberFormat="1" applyFont="1" applyFill="1" applyBorder="1" applyAlignment="1">
      <alignment horizontal="center"/>
    </xf>
    <xf numFmtId="3" fontId="0" fillId="3" borderId="1" xfId="0" applyNumberFormat="1" applyFill="1" applyBorder="1" applyAlignment="1">
      <alignment horizontal="center"/>
    </xf>
    <xf numFmtId="3" fontId="12" fillId="3" borderId="1" xfId="0" applyNumberFormat="1" applyFont="1" applyFill="1" applyBorder="1" applyAlignment="1">
      <alignment horizontal="center"/>
    </xf>
    <xf numFmtId="3" fontId="0" fillId="3" borderId="17" xfId="0" applyNumberFormat="1" applyFill="1" applyBorder="1" applyAlignment="1">
      <alignment horizontal="center"/>
    </xf>
    <xf numFmtId="3" fontId="3" fillId="11" borderId="20" xfId="0" applyNumberFormat="1" applyFont="1" applyFill="1" applyBorder="1" applyAlignment="1">
      <alignment horizontal="center"/>
    </xf>
    <xf numFmtId="0" fontId="3" fillId="3" borderId="0" xfId="0" applyFont="1" applyFill="1" applyBorder="1"/>
    <xf numFmtId="3" fontId="3" fillId="3" borderId="0" xfId="0" applyNumberFormat="1" applyFont="1" applyFill="1" applyBorder="1"/>
    <xf numFmtId="3" fontId="3" fillId="3" borderId="0" xfId="0" applyNumberFormat="1" applyFont="1" applyFill="1" applyBorder="1" applyAlignment="1">
      <alignment horizontal="center"/>
    </xf>
    <xf numFmtId="10" fontId="3" fillId="3" borderId="0" xfId="7" applyNumberFormat="1" applyFont="1" applyFill="1" applyBorder="1" applyAlignment="1">
      <alignment horizontal="center"/>
    </xf>
    <xf numFmtId="0" fontId="3" fillId="11" borderId="28" xfId="0" applyFont="1" applyFill="1" applyBorder="1" applyAlignment="1">
      <alignment horizontal="center"/>
    </xf>
    <xf numFmtId="0" fontId="3" fillId="11" borderId="28" xfId="0" applyFont="1" applyFill="1" applyBorder="1"/>
    <xf numFmtId="3" fontId="0" fillId="0" borderId="12" xfId="0" applyNumberFormat="1" applyBorder="1"/>
    <xf numFmtId="3" fontId="0" fillId="0" borderId="4" xfId="0" applyNumberFormat="1" applyBorder="1"/>
    <xf numFmtId="3" fontId="0" fillId="0" borderId="8" xfId="0" applyNumberFormat="1" applyBorder="1"/>
    <xf numFmtId="14" fontId="11" fillId="0" borderId="0" xfId="0" applyNumberFormat="1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1" fontId="13" fillId="0" borderId="0" xfId="0" applyNumberFormat="1" applyFont="1" applyFill="1" applyBorder="1" applyAlignment="1">
      <alignment horizontal="center"/>
    </xf>
    <xf numFmtId="14" fontId="13" fillId="0" borderId="0" xfId="0" applyNumberFormat="1" applyFont="1" applyFill="1" applyBorder="1" applyAlignment="1">
      <alignment horizontal="center"/>
    </xf>
    <xf numFmtId="43" fontId="13" fillId="0" borderId="0" xfId="3" applyFont="1" applyFill="1" applyBorder="1" applyAlignment="1">
      <alignment horizontal="center"/>
    </xf>
    <xf numFmtId="2" fontId="13" fillId="0" borderId="0" xfId="3" applyNumberFormat="1" applyFont="1" applyFill="1" applyBorder="1" applyAlignment="1">
      <alignment horizontal="center"/>
    </xf>
    <xf numFmtId="171" fontId="13" fillId="0" borderId="0" xfId="3" applyNumberFormat="1" applyFont="1" applyFill="1" applyBorder="1" applyAlignment="1">
      <alignment horizontal="center"/>
    </xf>
    <xf numFmtId="0" fontId="13" fillId="0" borderId="0" xfId="0" applyFont="1" applyFill="1" applyBorder="1" applyAlignment="1">
      <alignment horizontal="left"/>
    </xf>
    <xf numFmtId="0" fontId="14" fillId="0" borderId="0" xfId="0" applyFont="1" applyFill="1" applyBorder="1" applyAlignment="1">
      <alignment horizontal="center"/>
    </xf>
    <xf numFmtId="1" fontId="14" fillId="0" borderId="0" xfId="0" applyNumberFormat="1" applyFont="1" applyFill="1" applyBorder="1" applyAlignment="1">
      <alignment horizontal="center"/>
    </xf>
    <xf numFmtId="14" fontId="14" fillId="0" borderId="0" xfId="0" applyNumberFormat="1" applyFont="1" applyFill="1" applyBorder="1" applyAlignment="1">
      <alignment horizontal="center"/>
    </xf>
    <xf numFmtId="43" fontId="14" fillId="0" borderId="0" xfId="3" applyFont="1" applyFill="1" applyBorder="1" applyAlignment="1">
      <alignment horizontal="center"/>
    </xf>
    <xf numFmtId="2" fontId="14" fillId="0" borderId="0" xfId="3" applyNumberFormat="1" applyFont="1" applyFill="1" applyBorder="1" applyAlignment="1">
      <alignment horizontal="center"/>
    </xf>
    <xf numFmtId="171" fontId="14" fillId="0" borderId="0" xfId="3" applyNumberFormat="1" applyFont="1" applyFill="1" applyBorder="1" applyAlignment="1">
      <alignment horizontal="center"/>
    </xf>
    <xf numFmtId="0" fontId="15" fillId="0" borderId="0" xfId="0" applyFont="1" applyFill="1" applyBorder="1" applyAlignment="1">
      <alignment horizontal="left"/>
    </xf>
    <xf numFmtId="0" fontId="15" fillId="0" borderId="0" xfId="0" applyFont="1" applyFill="1" applyBorder="1" applyAlignment="1">
      <alignment horizontal="center"/>
    </xf>
    <xf numFmtId="1" fontId="15" fillId="0" borderId="0" xfId="0" applyNumberFormat="1" applyFont="1" applyFill="1" applyBorder="1" applyAlignment="1">
      <alignment horizontal="center"/>
    </xf>
    <xf numFmtId="43" fontId="15" fillId="0" borderId="0" xfId="3" applyFont="1" applyFill="1" applyBorder="1" applyAlignment="1">
      <alignment horizontal="center"/>
    </xf>
    <xf numFmtId="2" fontId="15" fillId="0" borderId="0" xfId="3" applyNumberFormat="1" applyFont="1" applyFill="1" applyBorder="1" applyAlignment="1">
      <alignment horizontal="center"/>
    </xf>
    <xf numFmtId="171" fontId="15" fillId="0" borderId="0" xfId="3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14" fontId="0" fillId="0" borderId="0" xfId="0" applyNumberFormat="1" applyFont="1" applyFill="1" applyBorder="1" applyAlignment="1">
      <alignment horizontal="center"/>
    </xf>
    <xf numFmtId="43" fontId="0" fillId="0" borderId="0" xfId="3" applyFont="1" applyFill="1" applyBorder="1" applyAlignment="1">
      <alignment horizontal="center"/>
    </xf>
    <xf numFmtId="2" fontId="0" fillId="0" borderId="0" xfId="3" applyNumberFormat="1" applyFont="1" applyFill="1" applyBorder="1" applyAlignment="1">
      <alignment horizontal="center"/>
    </xf>
    <xf numFmtId="171" fontId="0" fillId="0" borderId="0" xfId="3" applyNumberFormat="1" applyFont="1" applyFill="1" applyBorder="1" applyAlignment="1">
      <alignment horizontal="center"/>
    </xf>
    <xf numFmtId="0" fontId="0" fillId="0" borderId="0" xfId="0" applyFont="1" applyFill="1" applyBorder="1"/>
    <xf numFmtId="14" fontId="15" fillId="0" borderId="0" xfId="0" applyNumberFormat="1" applyFont="1" applyFill="1" applyBorder="1" applyAlignment="1">
      <alignment horizontal="center"/>
    </xf>
    <xf numFmtId="0" fontId="16" fillId="0" borderId="0" xfId="0" applyFont="1" applyFill="1" applyBorder="1" applyAlignment="1">
      <alignment horizontal="left"/>
    </xf>
    <xf numFmtId="0" fontId="16" fillId="0" borderId="0" xfId="0" applyFont="1" applyFill="1" applyBorder="1" applyAlignment="1">
      <alignment horizontal="center"/>
    </xf>
    <xf numFmtId="1" fontId="16" fillId="0" borderId="0" xfId="0" applyNumberFormat="1" applyFont="1" applyFill="1" applyBorder="1" applyAlignment="1">
      <alignment horizontal="center"/>
    </xf>
    <xf numFmtId="14" fontId="16" fillId="0" borderId="0" xfId="0" applyNumberFormat="1" applyFont="1" applyFill="1" applyBorder="1" applyAlignment="1">
      <alignment horizontal="center"/>
    </xf>
    <xf numFmtId="43" fontId="16" fillId="0" borderId="0" xfId="3" applyFont="1" applyFill="1" applyBorder="1" applyAlignment="1">
      <alignment horizontal="center"/>
    </xf>
    <xf numFmtId="2" fontId="16" fillId="0" borderId="0" xfId="3" applyNumberFormat="1" applyFont="1" applyFill="1" applyBorder="1" applyAlignment="1">
      <alignment horizontal="center"/>
    </xf>
    <xf numFmtId="171" fontId="16" fillId="0" borderId="0" xfId="3" applyNumberFormat="1" applyFont="1" applyFill="1" applyBorder="1" applyAlignment="1">
      <alignment horizontal="center"/>
    </xf>
    <xf numFmtId="14" fontId="0" fillId="0" borderId="0" xfId="0" applyNumberFormat="1"/>
    <xf numFmtId="37" fontId="0" fillId="0" borderId="0" xfId="0" applyNumberFormat="1"/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169" fontId="3" fillId="0" borderId="1" xfId="0" applyNumberFormat="1" applyFont="1" applyBorder="1" applyAlignment="1">
      <alignment horizontal="center" vertical="center"/>
    </xf>
    <xf numFmtId="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12" borderId="13" xfId="0" applyFont="1" applyFill="1" applyBorder="1" applyAlignment="1">
      <alignment horizontal="center" vertical="center"/>
    </xf>
    <xf numFmtId="0" fontId="3" fillId="12" borderId="26" xfId="0" applyFont="1" applyFill="1" applyBorder="1" applyAlignment="1">
      <alignment horizontal="center" vertical="center"/>
    </xf>
    <xf numFmtId="0" fontId="3" fillId="12" borderId="14" xfId="0" applyFont="1" applyFill="1" applyBorder="1" applyAlignment="1">
      <alignment horizontal="center" vertical="center"/>
    </xf>
    <xf numFmtId="0" fontId="3" fillId="12" borderId="15" xfId="0" applyFont="1" applyFill="1" applyBorder="1" applyAlignment="1">
      <alignment horizontal="center" vertical="center"/>
    </xf>
    <xf numFmtId="0" fontId="3" fillId="12" borderId="16" xfId="0" applyFont="1" applyFill="1" applyBorder="1" applyAlignment="1">
      <alignment horizontal="center" vertical="center"/>
    </xf>
    <xf numFmtId="0" fontId="3" fillId="12" borderId="27" xfId="0" applyFont="1" applyFill="1" applyBorder="1" applyAlignment="1">
      <alignment horizontal="center" vertical="center"/>
    </xf>
    <xf numFmtId="0" fontId="3" fillId="12" borderId="17" xfId="0" applyFont="1" applyFill="1" applyBorder="1" applyAlignment="1">
      <alignment horizontal="center" vertical="center"/>
    </xf>
    <xf numFmtId="0" fontId="3" fillId="12" borderId="18" xfId="0" applyFont="1" applyFill="1" applyBorder="1" applyAlignment="1">
      <alignment horizontal="center" vertical="center"/>
    </xf>
  </cellXfs>
  <cellStyles count="8">
    <cellStyle name="Comma" xfId="4" builtinId="3"/>
    <cellStyle name="Moeda 2" xfId="1"/>
    <cellStyle name="Moeda 3" xfId="5"/>
    <cellStyle name="Normal" xfId="0" builtinId="0"/>
    <cellStyle name="Normal 2" xfId="2"/>
    <cellStyle name="Percent" xfId="7" builtinId="5"/>
    <cellStyle name="Separador de milhares 2" xfId="6"/>
    <cellStyle name="Vírgula 2" xfId="3"/>
  </cellStyles>
  <dxfs count="164">
    <dxf>
      <border>
        <left style="hair">
          <color theme="0" tint="-0.34998626667073579"/>
        </left>
        <right style="hair">
          <color theme="0" tint="-0.34998626667073579"/>
        </right>
        <top style="hair">
          <color theme="0" tint="-0.34998626667073579"/>
        </top>
        <bottom style="hair">
          <color theme="0" tint="-0.34998626667073579"/>
        </bottom>
      </border>
    </dxf>
    <dxf>
      <fill>
        <patternFill>
          <bgColor theme="0" tint="-4.9989318521683403E-2"/>
        </patternFill>
      </fill>
    </dxf>
    <dxf>
      <fill>
        <patternFill>
          <bgColor rgb="FFFFFFCC"/>
        </patternFill>
      </fill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3" formatCode="#,##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3" formatCode="#,##0"/>
    </dxf>
    <dxf>
      <numFmt numFmtId="166" formatCode="_(&quot;R$ &quot;* #,##0.00_);_(&quot;R$ &quot;* \(#,##0.00\);_(&quot;R$ &quot;* &quot;-&quot;??_);_(@_)"/>
    </dxf>
    <dxf>
      <numFmt numFmtId="5" formatCode="#,##0_);\(#,##0\)"/>
    </dxf>
    <dxf>
      <numFmt numFmtId="35" formatCode="_(* #,##0.00_);_(* \(#,##0.00\);_(* &quot;-&quot;??_);_(@_)"/>
    </dxf>
    <dxf>
      <numFmt numFmtId="5" formatCode="#,##0_);\(#,##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71" formatCode="_(* #,##0_);_(* \(#,##0\);_(* &quot;-&quot;??_);_(@_)"/>
      <fill>
        <patternFill patternType="none">
          <fgColor indexed="64"/>
          <bgColor auto="1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71" formatCode="_(* #,##0_);_(* \(#,##0\);_(* &quot;-&quot;??_);_(@_)"/>
      <fill>
        <patternFill patternType="none">
          <fgColor indexed="64"/>
          <bgColor auto="1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numFmt numFmtId="173" formatCode="d/m/yyyy"/>
      <fill>
        <patternFill patternType="none">
          <fgColor indexed="64"/>
          <bgColor auto="1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73" formatCode="d/m/yyyy"/>
      <fill>
        <patternFill patternType="none">
          <fgColor indexed="64"/>
          <bgColor auto="1"/>
        </patternFill>
      </fill>
      <alignment horizontal="center" vertical="bottom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relativeIndent="0" justifyLastLine="0" shrinkToFit="0" readingOrder="0"/>
    </dxf>
    <dxf>
      <border outline="0">
        <left style="thin">
          <color indexed="64"/>
        </lef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5" formatCode="#,##0_);\(#,##0\)"/>
    </dxf>
    <dxf>
      <numFmt numFmtId="35" formatCode="_(* #,##0.00_);_(* \(#,##0.00\);_(* &quot;-&quot;??_);_(@_)"/>
    </dxf>
    <dxf>
      <numFmt numFmtId="5" formatCode="#,##0_);\(#,##0\)"/>
    </dxf>
    <dxf>
      <numFmt numFmtId="166" formatCode="_(&quot;R$ &quot;* #,##0.00_);_(&quot;R$ &quot;* \(#,##0.00\);_(&quot;R$ &quot;* &quot;-&quot;??_);_(@_)"/>
    </dxf>
    <dxf>
      <numFmt numFmtId="3" formatCode="#,##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3" formatCode="#,##0"/>
    </dxf>
    <dxf>
      <numFmt numFmtId="4" formatCode="#,##0.00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colors>
    <mruColors>
      <color rgb="FF00CC00"/>
      <color rgb="FF0066FF"/>
      <color rgb="FFFFFFFF"/>
      <color rgb="FF00FFFF"/>
      <color rgb="FF31849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[Vendas Mérito 01-01(JAN-1).xlsx]Novo Ranking 2013 E 2014!Tabela dinâmica3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Vendas</a:t>
            </a:r>
          </a:p>
        </c:rich>
      </c:tx>
      <c:overlay val="0"/>
    </c:title>
    <c:autoTitleDeleted val="0"/>
    <c:pivotFmts>
      <c:pivotFmt>
        <c:idx val="0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</c:dLbl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</c:dLbl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  <c:dLbl>
          <c:idx val="0"/>
          <c:numFmt formatCode="#,##0" sourceLinked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</c:dLbl>
      </c:pivotFmt>
      <c:pivotFmt>
        <c:idx val="5"/>
        <c:marker>
          <c:symbol val="none"/>
        </c:marker>
      </c:pivotFmt>
    </c:pivotFmts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strRef>
              <c:f>'Novo Ranking 2013 E 2014'!$B$4:$B$5</c:f>
              <c:strCache>
                <c:ptCount val="1"/>
                <c:pt idx="0">
                  <c:v>Soma de VGV</c:v>
                </c:pt>
              </c:strCache>
            </c:strRef>
          </c:tx>
          <c:dLbls>
            <c:numFmt formatCode="#,##0" sourceLinked="0"/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</c:dLbls>
          <c:cat>
            <c:multiLvlStrRef>
              <c:f>'Novo Ranking 2013 E 2014'!$A$6:$A$15</c:f>
              <c:multiLvlStrCache>
                <c:ptCount val="8"/>
                <c:lvl>
                  <c:pt idx="0">
                    <c:v>MOSHE</c:v>
                  </c:pt>
                  <c:pt idx="1">
                    <c:v>VITOR</c:v>
                  </c:pt>
                  <c:pt idx="2">
                    <c:v>GIULIANO</c:v>
                  </c:pt>
                  <c:pt idx="3">
                    <c:v>DOUGLAS</c:v>
                  </c:pt>
                  <c:pt idx="4">
                    <c:v>JIMMY</c:v>
                  </c:pt>
                  <c:pt idx="5">
                    <c:v>ROBSON</c:v>
                  </c:pt>
                  <c:pt idx="6">
                    <c:v>ABILIO</c:v>
                  </c:pt>
                  <c:pt idx="7">
                    <c:v>FRED</c:v>
                  </c:pt>
                </c:lvl>
                <c:lvl>
                  <c:pt idx="0">
                    <c:v>DIRETA</c:v>
                  </c:pt>
                </c:lvl>
              </c:multiLvlStrCache>
            </c:multiLvlStrRef>
          </c:cat>
          <c:val>
            <c:numRef>
              <c:f>'Novo Ranking 2013 E 2014'!$B$6:$B$15</c:f>
              <c:numCache>
                <c:formatCode>_(* #,##0.00_);_(* \(#,##0.00\);_(* "-"??_);_(@_)</c:formatCode>
                <c:ptCount val="8"/>
                <c:pt idx="0">
                  <c:v>5716103.4299999997</c:v>
                </c:pt>
                <c:pt idx="1">
                  <c:v>4424833.93</c:v>
                </c:pt>
                <c:pt idx="2">
                  <c:v>2614828.2400000002</c:v>
                </c:pt>
                <c:pt idx="3">
                  <c:v>2199538.12</c:v>
                </c:pt>
                <c:pt idx="4">
                  <c:v>2086615.3350000002</c:v>
                </c:pt>
                <c:pt idx="5">
                  <c:v>999859.92500000005</c:v>
                </c:pt>
                <c:pt idx="6">
                  <c:v>813182</c:v>
                </c:pt>
                <c:pt idx="7">
                  <c:v>743860.76</c:v>
                </c:pt>
              </c:numCache>
            </c:numRef>
          </c:val>
        </c:ser>
        <c:ser>
          <c:idx val="1"/>
          <c:order val="1"/>
          <c:tx>
            <c:strRef>
              <c:f>'Novo Ranking 2013 E 2014'!$C$4:$C$5</c:f>
              <c:strCache>
                <c:ptCount val="1"/>
                <c:pt idx="0">
                  <c:v>Soma de Vendas</c:v>
                </c:pt>
              </c:strCache>
            </c:strRef>
          </c:tx>
          <c:cat>
            <c:multiLvlStrRef>
              <c:f>'Novo Ranking 2013 E 2014'!$A$6:$A$15</c:f>
              <c:multiLvlStrCache>
                <c:ptCount val="8"/>
                <c:lvl>
                  <c:pt idx="0">
                    <c:v>MOSHE</c:v>
                  </c:pt>
                  <c:pt idx="1">
                    <c:v>VITOR</c:v>
                  </c:pt>
                  <c:pt idx="2">
                    <c:v>GIULIANO</c:v>
                  </c:pt>
                  <c:pt idx="3">
                    <c:v>DOUGLAS</c:v>
                  </c:pt>
                  <c:pt idx="4">
                    <c:v>JIMMY</c:v>
                  </c:pt>
                  <c:pt idx="5">
                    <c:v>ROBSON</c:v>
                  </c:pt>
                  <c:pt idx="6">
                    <c:v>ABILIO</c:v>
                  </c:pt>
                  <c:pt idx="7">
                    <c:v>FRED</c:v>
                  </c:pt>
                </c:lvl>
                <c:lvl>
                  <c:pt idx="0">
                    <c:v>DIRETA</c:v>
                  </c:pt>
                </c:lvl>
              </c:multiLvlStrCache>
            </c:multiLvlStrRef>
          </c:cat>
          <c:val>
            <c:numRef>
              <c:f>'Novo Ranking 2013 E 2014'!$C$6:$C$15</c:f>
              <c:numCache>
                <c:formatCode>General</c:formatCode>
                <c:ptCount val="8"/>
                <c:pt idx="0">
                  <c:v>15</c:v>
                </c:pt>
                <c:pt idx="1">
                  <c:v>8</c:v>
                </c:pt>
                <c:pt idx="2">
                  <c:v>4</c:v>
                </c:pt>
                <c:pt idx="3">
                  <c:v>5</c:v>
                </c:pt>
                <c:pt idx="4">
                  <c:v>6.5</c:v>
                </c:pt>
                <c:pt idx="5">
                  <c:v>2.5</c:v>
                </c:pt>
                <c:pt idx="6">
                  <c:v>2.5</c:v>
                </c:pt>
                <c:pt idx="7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</c:plotArea>
    <c:plotVisOnly val="1"/>
    <c:dispBlanksAs val="zero"/>
    <c:showDLblsOverMax val="0"/>
  </c:chart>
  <c:printSettings>
    <c:headerFooter/>
    <c:pageMargins b="0.78740157499999996" l="0.511811024" r="0.511811024" t="0.78740157499999996" header="0.31496062000001451" footer="0.31496062000001451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[Vendas Mérito 01-01(JAN-1).xlsx]Novo Ranking 2013 E 2014!Tabela dinâmica6</c:name>
    <c:fmtId val="4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Revenda</a:t>
            </a:r>
          </a:p>
        </c:rich>
      </c:tx>
      <c:overlay val="0"/>
    </c:title>
    <c:autoTitleDeleted val="0"/>
    <c:pivotFmts>
      <c:pivotFmt>
        <c:idx val="0"/>
        <c:marker>
          <c:symbol val="none"/>
        </c:marker>
        <c:dLbl>
          <c:idx val="0"/>
          <c:numFmt formatCode="#,##0" sourceLinked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</c:dLbl>
      </c:pivotFmt>
      <c:pivotFmt>
        <c:idx val="1"/>
        <c:marker>
          <c:symbol val="none"/>
        </c:marker>
      </c:pivotFmt>
      <c:pivotFmt>
        <c:idx val="2"/>
        <c:dLbl>
          <c:idx val="0"/>
          <c:layout>
            <c:manualLayout>
              <c:x val="-8.600851029984885E-2"/>
              <c:y val="-0.38868365412656752"/>
            </c:manualLayout>
          </c:layout>
          <c:showLegendKey val="0"/>
          <c:showVal val="1"/>
          <c:showCatName val="1"/>
          <c:showSerName val="0"/>
          <c:showPercent val="0"/>
          <c:showBubbleSize val="0"/>
        </c:dLbl>
      </c:pivotFmt>
    </c:pivotFmts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strRef>
              <c:f>'Novo Ranking 2013 E 2014'!$B$25:$B$26</c:f>
              <c:strCache>
                <c:ptCount val="1"/>
                <c:pt idx="0">
                  <c:v>Soma de VGV</c:v>
                </c:pt>
              </c:strCache>
            </c:strRef>
          </c:tx>
          <c:dLbls>
            <c:numFmt formatCode="#,##0" sourceLinked="0"/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</c:dLbls>
          <c:cat>
            <c:multiLvlStrRef>
              <c:f>'Novo Ranking 2013 E 2014'!$A$27:$A$29</c:f>
              <c:multiLvlStrCache>
                <c:ptCount val="1"/>
                <c:lvl>
                  <c:pt idx="0">
                    <c:v>IMOB. T. - ROSE</c:v>
                  </c:pt>
                </c:lvl>
                <c:lvl>
                  <c:pt idx="0">
                    <c:v>REVENDA</c:v>
                  </c:pt>
                </c:lvl>
              </c:multiLvlStrCache>
            </c:multiLvlStrRef>
          </c:cat>
          <c:val>
            <c:numRef>
              <c:f>'Novo Ranking 2013 E 2014'!$B$27:$B$29</c:f>
              <c:numCache>
                <c:formatCode>#,##0.00</c:formatCode>
                <c:ptCount val="1"/>
                <c:pt idx="0">
                  <c:v>1305973.02</c:v>
                </c:pt>
              </c:numCache>
            </c:numRef>
          </c:val>
        </c:ser>
        <c:ser>
          <c:idx val="1"/>
          <c:order val="1"/>
          <c:tx>
            <c:strRef>
              <c:f>'Novo Ranking 2013 E 2014'!$C$25:$C$26</c:f>
              <c:strCache>
                <c:ptCount val="1"/>
                <c:pt idx="0">
                  <c:v>Soma de Vendas</c:v>
                </c:pt>
              </c:strCache>
            </c:strRef>
          </c:tx>
          <c:cat>
            <c:multiLvlStrRef>
              <c:f>'Novo Ranking 2013 E 2014'!$A$27:$A$29</c:f>
              <c:multiLvlStrCache>
                <c:ptCount val="1"/>
                <c:lvl>
                  <c:pt idx="0">
                    <c:v>IMOB. T. - ROSE</c:v>
                  </c:pt>
                </c:lvl>
                <c:lvl>
                  <c:pt idx="0">
                    <c:v>REVENDA</c:v>
                  </c:pt>
                </c:lvl>
              </c:multiLvlStrCache>
            </c:multiLvlStrRef>
          </c:cat>
          <c:val>
            <c:numRef>
              <c:f>'Novo Ranking 2013 E 2014'!$C$27:$C$29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</c:plotArea>
    <c:plotVisOnly val="1"/>
    <c:dispBlanksAs val="zero"/>
    <c:showDLblsOverMax val="0"/>
  </c:chart>
  <c:printSettings>
    <c:headerFooter/>
    <c:pageMargins b="0.78740157499999996" l="0.511811024" r="0.511811024" t="0.78740157499999996" header="0.3149606200000144" footer="0.3149606200000144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[Vendas Mérito 01-01(JAN-1).xlsx]Novo Ranking 2013 E 2014!Tabela dinâmica7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pt-BR"/>
              <a:t>Terceiros</a:t>
            </a:r>
          </a:p>
        </c:rich>
      </c:tx>
      <c:overlay val="0"/>
    </c:title>
    <c:autoTitleDeleted val="0"/>
    <c:pivotFmts>
      <c:pivotFmt>
        <c:idx val="0"/>
        <c:marker>
          <c:symbol val="none"/>
        </c:marker>
        <c:dLbl>
          <c:idx val="0"/>
          <c:numFmt formatCode="#,##0" sourceLinked="0"/>
          <c:spPr/>
          <c:txPr>
            <a:bodyPr/>
            <a:lstStyle/>
            <a:p>
              <a:pPr>
                <a:defRPr sz="800"/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</c:dLbl>
      </c:pivotFmt>
      <c:pivotFmt>
        <c:idx val="1"/>
        <c:marker>
          <c:symbol val="none"/>
        </c:marker>
      </c:pivotFmt>
    </c:pivotFmts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5555555555555556"/>
          <c:y val="0.19432888597258677"/>
          <c:w val="0.58602909011373583"/>
          <c:h val="0.75474518810151625"/>
        </c:manualLayout>
      </c:layout>
      <c:pie3DChart>
        <c:varyColors val="1"/>
        <c:ser>
          <c:idx val="0"/>
          <c:order val="0"/>
          <c:tx>
            <c:strRef>
              <c:f>'Novo Ranking 2013 E 2014'!$B$40:$B$41</c:f>
              <c:strCache>
                <c:ptCount val="1"/>
                <c:pt idx="0">
                  <c:v>Soma de VGV</c:v>
                </c:pt>
              </c:strCache>
            </c:strRef>
          </c:tx>
          <c:dLbls>
            <c:numFmt formatCode="#,##0" sourceLinked="0"/>
            <c:spPr/>
            <c:txPr>
              <a:bodyPr/>
              <a:lstStyle/>
              <a:p>
                <a:pPr>
                  <a:defRPr sz="800"/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</c:dLbls>
          <c:cat>
            <c:multiLvlStrRef>
              <c:f>'Novo Ranking 2013 E 2014'!$A$42:$A$47</c:f>
              <c:multiLvlStrCache>
                <c:ptCount val="3"/>
                <c:lvl>
                  <c:pt idx="0">
                    <c:v>IMOB. T. - MAX</c:v>
                  </c:pt>
                  <c:pt idx="1">
                    <c:v>IMOB. T. - MACHADO</c:v>
                  </c:pt>
                  <c:pt idx="2">
                    <c:v>IMOB. T. - FERNANDO</c:v>
                  </c:pt>
                </c:lvl>
                <c:lvl>
                  <c:pt idx="0">
                    <c:v>BONAFE</c:v>
                  </c:pt>
                </c:lvl>
                <c:lvl>
                  <c:pt idx="0">
                    <c:v>TERCEIROS</c:v>
                  </c:pt>
                </c:lvl>
              </c:multiLvlStrCache>
            </c:multiLvlStrRef>
          </c:cat>
          <c:val>
            <c:numRef>
              <c:f>'Novo Ranking 2013 E 2014'!$B$42:$B$47</c:f>
              <c:numCache>
                <c:formatCode>#,##0.00</c:formatCode>
                <c:ptCount val="3"/>
                <c:pt idx="0">
                  <c:v>1798600</c:v>
                </c:pt>
                <c:pt idx="1">
                  <c:v>899980</c:v>
                </c:pt>
                <c:pt idx="2">
                  <c:v>884575</c:v>
                </c:pt>
              </c:numCache>
            </c:numRef>
          </c:val>
        </c:ser>
        <c:ser>
          <c:idx val="1"/>
          <c:order val="1"/>
          <c:tx>
            <c:strRef>
              <c:f>'Novo Ranking 2013 E 2014'!$C$40:$C$41</c:f>
              <c:strCache>
                <c:ptCount val="1"/>
                <c:pt idx="0">
                  <c:v>Soma de Vendas</c:v>
                </c:pt>
              </c:strCache>
            </c:strRef>
          </c:tx>
          <c:cat>
            <c:multiLvlStrRef>
              <c:f>'Novo Ranking 2013 E 2014'!$A$42:$A$47</c:f>
              <c:multiLvlStrCache>
                <c:ptCount val="3"/>
                <c:lvl>
                  <c:pt idx="0">
                    <c:v>IMOB. T. - MAX</c:v>
                  </c:pt>
                  <c:pt idx="1">
                    <c:v>IMOB. T. - MACHADO</c:v>
                  </c:pt>
                  <c:pt idx="2">
                    <c:v>IMOB. T. - FERNANDO</c:v>
                  </c:pt>
                </c:lvl>
                <c:lvl>
                  <c:pt idx="0">
                    <c:v>BONAFE</c:v>
                  </c:pt>
                </c:lvl>
                <c:lvl>
                  <c:pt idx="0">
                    <c:v>TERCEIROS</c:v>
                  </c:pt>
                </c:lvl>
              </c:multiLvlStrCache>
            </c:multiLvlStrRef>
          </c:cat>
          <c:val>
            <c:numRef>
              <c:f>'Novo Ranking 2013 E 2014'!$C$42:$C$47</c:f>
              <c:numCache>
                <c:formatCode>General</c:formatCode>
                <c:ptCount val="3"/>
                <c:pt idx="0">
                  <c:v>6.5</c:v>
                </c:pt>
                <c:pt idx="1">
                  <c:v>3</c:v>
                </c:pt>
                <c:pt idx="2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</c:plotArea>
    <c:plotVisOnly val="1"/>
    <c:dispBlanksAs val="zero"/>
    <c:showDLblsOverMax val="0"/>
  </c:chart>
  <c:printSettings>
    <c:headerFooter/>
    <c:pageMargins b="0.78740157499999996" l="0.511811024" r="0.511811024" t="0.78740157499999996" header="0.3149606200000144" footer="0.3149606200000144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352426</xdr:colOff>
      <xdr:row>1</xdr:row>
      <xdr:rowOff>66675</xdr:rowOff>
    </xdr:from>
    <xdr:to>
      <xdr:col>21</xdr:col>
      <xdr:colOff>552450</xdr:colOff>
      <xdr:row>18</xdr:row>
      <xdr:rowOff>85724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361950</xdr:colOff>
      <xdr:row>18</xdr:row>
      <xdr:rowOff>152400</xdr:rowOff>
    </xdr:from>
    <xdr:to>
      <xdr:col>21</xdr:col>
      <xdr:colOff>533400</xdr:colOff>
      <xdr:row>33</xdr:row>
      <xdr:rowOff>133350</xdr:rowOff>
    </xdr:to>
    <xdr:graphicFrame macro="">
      <xdr:nvGraphicFramePr>
        <xdr:cNvPr id="7" name="Grá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371475</xdr:colOff>
      <xdr:row>34</xdr:row>
      <xdr:rowOff>28575</xdr:rowOff>
    </xdr:from>
    <xdr:to>
      <xdr:col>21</xdr:col>
      <xdr:colOff>523876</xdr:colOff>
      <xdr:row>49</xdr:row>
      <xdr:rowOff>0</xdr:rowOff>
    </xdr:to>
    <xdr:graphicFrame macro="">
      <xdr:nvGraphicFramePr>
        <xdr:cNvPr id="8" name="Grá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Bruno" refreshedDate="41687.704619675926" createdVersion="3" refreshedVersion="4" minRefreshableVersion="3" recordCount="1163">
  <cacheSource type="worksheet">
    <worksheetSource name="Tabela1"/>
  </cacheSource>
  <cacheFields count="12">
    <cacheField name="Empreendimento" numFmtId="0">
      <sharedItems containsBlank="1" count="53">
        <s v="AMISTÁ BOSQUE LAZER"/>
        <s v="AMISTÁ SPECIAL RESORT"/>
        <s v="AVANTI VIDA"/>
        <s v="CLASS VARANDA MARIANA"/>
        <s v="TONS DA VILLA"/>
        <s v="AVANTI CLUBE"/>
        <s v="AVANTI GUARULHOS"/>
        <s v="NOVO JARDIM VIP"/>
        <s v="FAMÍLIA IPIRANGA"/>
        <s v="HOST PARAÍSO"/>
        <s v="PIAZZA SUPREMA"/>
        <s v="DECOR PARAÍSO"/>
        <s v="GALLERY OFFICES"/>
        <s v="NEW STATION VILA CLEMENTINO"/>
        <s v="ARES DO PARQUE ACLIMAÇÃO"/>
        <s v="ESTILO JARDINS"/>
        <s v="COSMOPOLITAN HIGH GARDEN"/>
        <s v="PASSEIO DO BOSQUE - BONFIGLIOLI"/>
        <s v="MERIDIANO"/>
        <s v="VILLA VARANDA"/>
        <s v="NOVA AMERICA "/>
        <s v="VIVA"/>
        <s v="AQUARELLE "/>
        <s v="NOW ALTO DA BOA VISTA"/>
        <s v="STATION OFFICES SAÚDE"/>
        <s v="BOULEVARD LAPA"/>
        <s v="NOW STUDIOS IPIRANGA"/>
        <s v="ESCRITÓRIO SANTANA"/>
        <s v="AMISTA BOSQUE LAZER" u="1"/>
        <m u="1"/>
        <s v="VILLA VARANDA " u="1"/>
        <s v="                          " u="1"/>
        <s v="PIAZZA SUPREMA " u="1"/>
        <s v="NEW STATION " u="1"/>
        <s v="AMISTA SPECIAL RESORT " u="1"/>
        <s v="AVANTI VIDA " u="1"/>
        <s v="STATION OFFICES " u="1"/>
        <s v="HOST PARAISO" u="1"/>
        <s v="NOVO JARDIM" u="1"/>
        <s v="NOVO JARDIM " u="1"/>
        <s v="PASSEIO DO BOSQUE" u="1"/>
        <s v="COSMOPOLITAN" u="1"/>
        <s v="COSMOPOLITAN " u="1"/>
        <s v="AMISTA BOSQUE &amp; LAZER" u="1"/>
        <s v="TONS DA VILLA " u="1"/>
        <s v="DECOR PARAISO" u="1"/>
        <s v="CLASS VARANDA MARIANA " u="1"/>
        <s v="AMISTA SPECIAL RESORT" u="1"/>
        <s v="AVANTI GUARULHOS " u="1"/>
        <s v="AVANTI CLUBE " u="1"/>
        <s v="ARES DO PARQUE" u="1"/>
        <s v="ARES DO PARQUE " u="1"/>
        <s v="FAMILIA IPIRANGA " u="1"/>
      </sharedItems>
    </cacheField>
    <cacheField name="Torre" numFmtId="0">
      <sharedItems/>
    </cacheField>
    <cacheField name="Unidade" numFmtId="0">
      <sharedItems containsMixedTypes="1" containsNumber="1" containsInteger="1" minValue="1" maxValue="2615"/>
    </cacheField>
    <cacheField name="Tipo de Venda" numFmtId="1">
      <sharedItems containsBlank="1" count="7">
        <s v="DIRETA"/>
        <s v="TERCEIROS"/>
        <s v="REVENDA"/>
        <m u="1"/>
        <s v="IMOB. TERCEIROS" u="1"/>
        <s v="VENDAS" u="1"/>
        <s v="VENDA" u="1"/>
      </sharedItems>
    </cacheField>
    <cacheField name="Estilo Venda" numFmtId="1">
      <sharedItems containsBlank="1" count="4">
        <s v="ESTOQUE"/>
        <s v="REVENDA"/>
        <s v="LANÇAMENTO"/>
        <m u="1"/>
      </sharedItems>
    </cacheField>
    <cacheField name="Data da Venda" numFmtId="14">
      <sharedItems containsSemiMixedTypes="0" containsNonDate="0" containsDate="1" containsString="0" minDate="2013-01-06T00:00:00" maxDate="2014-02-14T00:00:00" count="270">
        <d v="2013-01-06T00:00:00"/>
        <d v="2013-01-07T00:00:00"/>
        <d v="2013-01-09T00:00:00"/>
        <d v="2013-01-10T00:00:00"/>
        <d v="2013-01-13T00:00:00"/>
        <d v="2013-01-16T00:00:00"/>
        <d v="2013-01-19T00:00:00"/>
        <d v="2013-01-21T00:00:00"/>
        <d v="2013-01-22T00:00:00"/>
        <d v="2013-01-23T00:00:00"/>
        <d v="2013-01-24T00:00:00"/>
        <d v="2013-01-27T00:00:00"/>
        <d v="2013-01-28T00:00:00"/>
        <d v="2013-01-29T00:00:00"/>
        <d v="2013-01-30T00:00:00"/>
        <d v="2013-01-31T00:00:00"/>
        <d v="2013-02-01T00:00:00"/>
        <d v="2013-02-02T00:00:00"/>
        <d v="2013-02-03T00:00:00"/>
        <d v="2013-02-04T00:00:00"/>
        <d v="2013-02-07T00:00:00"/>
        <d v="2013-02-08T00:00:00"/>
        <d v="2013-02-10T00:00:00"/>
        <d v="2013-02-14T00:00:00"/>
        <d v="2013-02-18T00:00:00"/>
        <d v="2013-02-19T00:00:00"/>
        <d v="2013-02-21T00:00:00"/>
        <d v="2013-02-24T00:00:00"/>
        <d v="2013-02-25T00:00:00"/>
        <d v="2013-02-26T00:00:00"/>
        <d v="2013-02-27T00:00:00"/>
        <d v="2013-02-28T00:00:00"/>
        <d v="2013-03-01T00:00:00"/>
        <d v="2013-03-02T00:00:00"/>
        <d v="2013-03-03T00:00:00"/>
        <d v="2013-03-04T00:00:00"/>
        <d v="2013-03-07T00:00:00"/>
        <d v="2013-03-10T00:00:00"/>
        <d v="2013-03-11T00:00:00"/>
        <d v="2013-03-13T00:00:00"/>
        <d v="2013-03-14T00:00:00"/>
        <d v="2013-03-15T00:00:00"/>
        <d v="2013-03-17T00:00:00"/>
        <d v="2013-03-18T00:00:00"/>
        <d v="2013-03-19T00:00:00"/>
        <d v="2013-03-21T00:00:00"/>
        <d v="2013-03-23T00:00:00"/>
        <d v="2013-03-24T00:00:00"/>
        <d v="2013-03-25T00:00:00"/>
        <d v="2013-03-27T00:00:00"/>
        <d v="2013-03-28T00:00:00"/>
        <d v="2013-04-05T00:00:00"/>
        <d v="2013-04-06T00:00:00"/>
        <d v="2013-04-07T00:00:00"/>
        <d v="2013-04-08T00:00:00"/>
        <d v="2013-04-09T00:00:00"/>
        <d v="2013-04-10T00:00:00"/>
        <d v="2013-04-11T00:00:00"/>
        <d v="2013-04-12T00:00:00"/>
        <d v="2013-04-13T00:00:00"/>
        <d v="2013-04-14T00:00:00"/>
        <d v="2013-04-16T00:00:00"/>
        <d v="2013-04-17T00:00:00"/>
        <d v="2013-04-19T00:00:00"/>
        <d v="2013-04-22T00:00:00"/>
        <d v="2013-04-23T00:00:00"/>
        <d v="2013-04-25T00:00:00"/>
        <d v="2013-04-26T00:00:00"/>
        <d v="2013-04-27T00:00:00"/>
        <d v="2013-04-30T00:00:00"/>
        <d v="2013-05-02T00:00:00"/>
        <d v="2013-05-03T00:00:00"/>
        <d v="2013-05-05T00:00:00"/>
        <d v="2013-05-06T00:00:00"/>
        <d v="2013-05-07T00:00:00"/>
        <d v="2013-05-08T00:00:00"/>
        <d v="2013-05-09T00:00:00"/>
        <d v="2013-05-10T00:00:00"/>
        <d v="2013-05-12T00:00:00"/>
        <d v="2013-05-13T00:00:00"/>
        <d v="2013-05-14T00:00:00"/>
        <d v="2013-05-17T00:00:00"/>
        <d v="2013-05-18T00:00:00"/>
        <d v="2013-05-19T00:00:00"/>
        <d v="2013-05-20T00:00:00"/>
        <d v="2013-05-21T00:00:00"/>
        <d v="2013-05-22T00:00:00"/>
        <d v="2013-05-23T00:00:00"/>
        <d v="2013-05-24T00:00:00"/>
        <d v="2013-05-26T00:00:00"/>
        <d v="2013-05-27T00:00:00"/>
        <d v="2013-05-28T00:00:00"/>
        <d v="2013-05-29T00:00:00"/>
        <d v="2013-05-30T00:00:00"/>
        <d v="2013-05-31T00:00:00"/>
        <d v="2013-06-04T00:00:00"/>
        <d v="2013-06-05T00:00:00"/>
        <d v="2013-06-06T00:00:00"/>
        <d v="2013-06-09T00:00:00"/>
        <d v="2013-06-11T00:00:00"/>
        <d v="2013-06-12T00:00:00"/>
        <d v="2013-06-14T00:00:00"/>
        <d v="2013-06-16T00:00:00"/>
        <d v="2013-06-17T00:00:00"/>
        <d v="2013-06-19T00:00:00"/>
        <d v="2013-06-20T00:00:00"/>
        <d v="2013-06-21T00:00:00"/>
        <d v="2013-06-23T00:00:00"/>
        <d v="2013-06-24T00:00:00"/>
        <d v="2013-06-25T00:00:00"/>
        <d v="2013-06-26T00:00:00"/>
        <d v="2013-06-27T00:00:00"/>
        <d v="2013-06-28T00:00:00"/>
        <d v="2013-06-30T00:00:00"/>
        <d v="2013-07-01T00:00:00"/>
        <d v="2013-07-02T00:00:00"/>
        <d v="2013-07-03T00:00:00"/>
        <d v="2013-07-05T00:00:00"/>
        <d v="2013-07-06T00:00:00"/>
        <d v="2013-07-07T00:00:00"/>
        <d v="2013-07-08T00:00:00"/>
        <d v="2013-07-09T00:00:00"/>
        <d v="2013-07-10T00:00:00"/>
        <d v="2013-07-11T00:00:00"/>
        <d v="2013-07-12T00:00:00"/>
        <d v="2013-07-13T00:00:00"/>
        <d v="2013-07-14T00:00:00"/>
        <d v="2013-07-15T00:00:00"/>
        <d v="2013-07-16T00:00:00"/>
        <d v="2013-07-17T00:00:00"/>
        <d v="2013-07-18T00:00:00"/>
        <d v="2013-07-22T00:00:00"/>
        <d v="2013-07-23T00:00:00"/>
        <d v="2013-07-26T00:00:00"/>
        <d v="2013-07-28T00:00:00"/>
        <d v="2013-07-29T00:00:00"/>
        <d v="2013-07-30T00:00:00"/>
        <d v="2013-07-31T00:00:00"/>
        <d v="2013-08-01T00:00:00"/>
        <d v="2013-08-03T00:00:00"/>
        <d v="2013-08-06T00:00:00"/>
        <d v="2013-08-11T00:00:00"/>
        <d v="2013-08-12T00:00:00"/>
        <d v="2013-08-15T00:00:00"/>
        <d v="2013-08-16T00:00:00"/>
        <d v="2013-08-18T00:00:00"/>
        <d v="2013-08-19T00:00:00"/>
        <d v="2013-08-20T00:00:00"/>
        <d v="2013-08-21T00:00:00"/>
        <d v="2013-08-22T00:00:00"/>
        <d v="2013-08-23T00:00:00"/>
        <d v="2013-08-25T00:00:00"/>
        <d v="2013-08-27T00:00:00"/>
        <d v="2013-08-28T00:00:00"/>
        <d v="2013-08-29T00:00:00"/>
        <d v="2013-08-30T00:00:00"/>
        <d v="2013-08-31T00:00:00"/>
        <d v="2013-09-02T00:00:00"/>
        <d v="2013-09-03T00:00:00"/>
        <d v="2013-09-04T00:00:00"/>
        <d v="2013-09-08T00:00:00"/>
        <d v="2013-09-09T00:00:00"/>
        <d v="2013-09-10T00:00:00"/>
        <d v="2013-09-11T00:00:00"/>
        <d v="2013-09-12T00:00:00"/>
        <d v="2013-09-13T00:00:00"/>
        <d v="2013-09-14T00:00:00"/>
        <d v="2013-09-17T00:00:00"/>
        <d v="2013-09-18T00:00:00"/>
        <d v="2013-09-21T00:00:00"/>
        <d v="2013-09-22T00:00:00"/>
        <d v="2013-09-24T00:00:00"/>
        <d v="2013-09-25T00:00:00"/>
        <d v="2013-09-28T00:00:00"/>
        <d v="2013-09-29T00:00:00"/>
        <d v="2013-10-01T00:00:00"/>
        <d v="2013-10-03T00:00:00"/>
        <d v="2013-10-05T00:00:00"/>
        <d v="2013-10-07T00:00:00"/>
        <d v="2013-10-08T00:00:00"/>
        <d v="2013-10-10T00:00:00"/>
        <d v="2013-10-11T00:00:00"/>
        <d v="2013-10-13T00:00:00"/>
        <d v="2013-10-15T00:00:00"/>
        <d v="2013-10-16T00:00:00"/>
        <d v="2013-10-18T00:00:00"/>
        <d v="2013-10-21T00:00:00"/>
        <d v="2013-10-24T00:00:00"/>
        <d v="2013-10-25T00:00:00"/>
        <d v="2013-10-27T00:00:00"/>
        <d v="2013-10-29T00:00:00"/>
        <d v="2013-10-30T00:00:00"/>
        <d v="2013-10-31T00:00:00"/>
        <d v="2013-11-01T00:00:00"/>
        <d v="2013-11-02T00:00:00"/>
        <d v="2013-11-03T00:00:00"/>
        <d v="2013-11-04T00:00:00"/>
        <d v="2013-11-05T00:00:00"/>
        <d v="2013-11-06T00:00:00"/>
        <d v="2013-11-07T00:00:00"/>
        <d v="2013-11-10T00:00:00"/>
        <d v="2013-11-11T00:00:00"/>
        <d v="2013-11-12T00:00:00"/>
        <d v="2013-11-13T00:00:00"/>
        <d v="2013-11-14T00:00:00"/>
        <d v="2013-11-15T00:00:00"/>
        <d v="2013-11-16T00:00:00"/>
        <d v="2013-11-17T00:00:00"/>
        <d v="2013-11-18T00:00:00"/>
        <d v="2013-11-19T00:00:00"/>
        <d v="2013-11-20T00:00:00"/>
        <d v="2013-11-21T00:00:00"/>
        <d v="2013-11-22T00:00:00"/>
        <d v="2013-11-23T00:00:00"/>
        <d v="2013-11-24T00:00:00"/>
        <d v="2013-11-25T00:00:00"/>
        <d v="2013-11-26T00:00:00"/>
        <d v="2013-11-27T00:00:00"/>
        <d v="2013-11-28T00:00:00"/>
        <d v="2013-11-29T00:00:00"/>
        <d v="2013-11-30T00:00:00"/>
        <d v="2013-12-02T00:00:00"/>
        <d v="2013-12-03T00:00:00"/>
        <d v="2013-12-04T00:00:00"/>
        <d v="2013-12-05T00:00:00"/>
        <d v="2013-12-06T00:00:00"/>
        <d v="2013-12-07T00:00:00"/>
        <d v="2013-12-09T00:00:00"/>
        <d v="2013-12-10T00:00:00"/>
        <d v="2013-12-11T00:00:00"/>
        <d v="2013-12-12T00:00:00"/>
        <d v="2013-12-13T00:00:00"/>
        <d v="2013-12-15T00:00:00"/>
        <d v="2013-12-16T00:00:00"/>
        <d v="2013-12-17T00:00:00"/>
        <d v="2013-12-19T00:00:00"/>
        <d v="2013-12-21T00:00:00"/>
        <d v="2014-01-02T00:00:00"/>
        <d v="2014-01-05T00:00:00"/>
        <d v="2014-01-06T00:00:00"/>
        <d v="2014-01-07T00:00:00"/>
        <d v="2014-01-08T00:00:00"/>
        <d v="2014-01-12T00:00:00"/>
        <d v="2014-01-13T00:00:00"/>
        <d v="2014-01-14T00:00:00"/>
        <d v="2014-01-15T00:00:00"/>
        <d v="2014-01-16T00:00:00"/>
        <d v="2014-01-19T00:00:00"/>
        <d v="2014-01-20T00:00:00"/>
        <d v="2014-01-21T00:00:00"/>
        <d v="2014-01-22T00:00:00"/>
        <d v="2014-01-23T00:00:00"/>
        <d v="2014-01-24T00:00:00"/>
        <d v="2014-01-25T00:00:00"/>
        <d v="2014-01-26T00:00:00"/>
        <d v="2014-01-31T00:00:00"/>
        <d v="2014-01-29T00:00:00"/>
        <d v="2014-02-03T00:00:00"/>
        <d v="2014-02-04T00:00:00"/>
        <d v="2014-02-05T00:00:00"/>
        <d v="2014-02-06T00:00:00"/>
        <d v="2014-02-07T00:00:00"/>
        <d v="2014-02-08T00:00:00"/>
        <d v="2014-02-09T00:00:00"/>
        <d v="2014-02-10T00:00:00"/>
        <d v="2014-02-11T00:00:00"/>
        <d v="2014-02-12T00:00:00"/>
        <d v="2014-02-13T00:00:00"/>
        <d v="2013-05-04T00:00:00" u="1"/>
        <d v="2013-10-14T00:00:00" u="1"/>
      </sharedItems>
    </cacheField>
    <cacheField name="Nome" numFmtId="0">
      <sharedItems containsBlank="1" count="225">
        <s v="MAGAL"/>
        <s v="TINO"/>
        <s v="ALEXANDRE"/>
        <s v="GASPAR"/>
        <s v="MEL"/>
        <s v="ESTHER"/>
        <s v="BRUNO"/>
        <s v="MATHEUS"/>
        <s v="IMOB. T. - MACHADO"/>
        <s v="GREGORIO"/>
        <s v="IMOB. T. - FALCÃO"/>
        <s v="IMOB. T. - FERNANDO"/>
        <s v="VANIA"/>
        <s v="CIDA"/>
        <s v="FANY"/>
        <s v="GARCIA"/>
        <s v="IMOB. T. - ROSE"/>
        <s v="COSTA"/>
        <s v="GILBERTO"/>
        <s v="JAIME"/>
        <s v="FARIA"/>
        <s v="TONY"/>
        <s v="MAURICIO"/>
        <s v="BACCAN"/>
        <s v="CAXAMBU"/>
        <s v="KHAL"/>
        <s v="GIMENEZ"/>
        <s v="EDUARDO"/>
        <s v="LIBERATO"/>
        <s v="SARAIVA"/>
        <s v="CARINA"/>
        <s v="CLAUDIA"/>
        <s v="MALU"/>
        <s v="VERA"/>
        <s v="LUSIMERE"/>
        <s v="HELOISA"/>
        <s v="ITAMAR"/>
        <s v="HAMILTON"/>
        <s v="ENZO"/>
        <s v="RAPHAEL"/>
        <s v="GUILHERMINA"/>
        <s v="KAMILA"/>
        <s v="EVITA"/>
        <s v="CHANNEL"/>
        <s v="KATE"/>
        <s v="PATRICIA"/>
        <s v="ANDERSON"/>
        <s v="MITUI"/>
        <s v="DANIELA"/>
        <s v="DENISE"/>
        <s v="REYNALDO"/>
        <s v="THIAGO"/>
        <s v="NETHO"/>
        <s v="ERICA"/>
        <s v="TATYANA"/>
        <s v="TOME"/>
        <s v="GALILEU"/>
        <s v="JONAS"/>
        <s v="COELHO"/>
        <s v="GILDA "/>
        <s v="LUDMILLA"/>
        <s v="MARTA"/>
        <s v="HAROLDO"/>
        <s v="BLUMA"/>
        <s v="DIAS"/>
        <s v="FREIRE"/>
        <s v="MEDEIROS"/>
        <s v="SYLMARA"/>
        <s v="JULINHO"/>
        <s v="IMOB. T. - HUDSON"/>
        <s v="CAMIS"/>
        <s v="VINNI"/>
        <s v="CACAU"/>
        <s v="VALMIR"/>
        <s v="ADRIANO "/>
        <s v="TILICO"/>
        <s v="DIEGO"/>
        <s v="LIANY"/>
        <s v="ARTTE "/>
        <s v="TROIA"/>
        <s v="AUGUSTO"/>
        <s v="SOLANGE"/>
        <s v="LEANDRO"/>
        <s v="MARCIA"/>
        <s v="DANTE"/>
        <s v="DEBORA"/>
        <s v="ROBERTO"/>
        <s v="VITORIA"/>
        <s v="SILVIA"/>
        <s v="JOAL"/>
        <s v="OLAVO"/>
        <s v="GLASER"/>
        <s v="JADE"/>
        <s v="AILTON"/>
        <s v="RONALDO"/>
        <s v="CARLOS"/>
        <s v="ROMULO"/>
        <s v="LUCIA"/>
        <s v="GISELE"/>
        <s v="AMARILIS"/>
        <s v="NEIVA"/>
        <s v="FERNANDA"/>
        <s v="FATIMA"/>
        <s v="ARETHA"/>
        <s v="JOSELIA"/>
        <s v="BENTO"/>
        <s v="IRINEU"/>
        <s v="MAURO"/>
        <s v="DAMIÃO"/>
        <s v="MARCELO"/>
        <s v="TOBIAS"/>
        <s v="LUIZA"/>
        <s v="IRIS"/>
        <s v="IVONE"/>
        <s v="FLAVIO"/>
        <s v="CAROL"/>
        <s v="CESAR"/>
        <s v="SOUZA"/>
        <s v="SENNA"/>
        <s v="CABRAL"/>
        <s v="MARIANA"/>
        <s v="AFRAH"/>
        <s v="EVA"/>
        <s v="VICINO"/>
        <s v="MIRIAM"/>
        <s v="ARAUJO"/>
        <s v="IDALICE"/>
        <s v="ERCIO"/>
        <s v="KEIKO"/>
        <s v="IRENE"/>
        <s v="CRISTIANO"/>
        <s v="NATAL"/>
        <s v="HORTENCIA"/>
        <s v="DENNIS"/>
        <s v="EDSON"/>
        <s v="HANNAH"/>
        <s v="ANSELMO"/>
        <s v="SUZUKI"/>
        <s v="ANDREYA"/>
        <s v="IMOB. T. - BLUMA"/>
        <s v="QUEIROZ"/>
        <s v="SUELI"/>
        <s v="GUSTAVO"/>
        <s v="ROGERIO"/>
        <s v="MATHEUS(1)"/>
        <s v="MATILDES"/>
        <s v="FELIPE"/>
        <s v="ANTUNIETA"/>
        <s v="JORGE"/>
        <s v="BRUNA"/>
        <s v="BIANCO"/>
        <s v="VALENTINA"/>
        <s v="VAZ"/>
        <s v="IMOB. T. - MAX"/>
        <s v="RENATO"/>
        <s v="ANA"/>
        <s v="KELI"/>
        <s v="ARIANE"/>
        <s v="ANDRE"/>
        <s v="AMANDA"/>
        <s v="CLARA"/>
        <s v="RODRIGUES"/>
        <s v="FERRARI"/>
        <s v="PEIXOTO"/>
        <s v="ALVARO"/>
        <s v="TALES"/>
        <s v="MAIA"/>
        <s v="NIL"/>
        <s v="CLAUDIO"/>
        <s v="NEUZZA"/>
        <s v="LUIZ"/>
        <s v="SERGIO"/>
        <s v="CRISTINA"/>
        <s v="LIZ"/>
        <s v="MICHEL"/>
        <s v="MARRONE"/>
        <s v="CLEO"/>
        <s v="MYUNG"/>
        <s v="EMILIO"/>
        <s v="SIMONE"/>
        <s v="SUSANA"/>
        <s v="MATIAS"/>
        <s v="PADUA"/>
        <s v="LEONEL"/>
        <s v="CAIO"/>
        <s v="JANAINA"/>
        <s v="JOÃO"/>
        <s v="WILLIAM"/>
        <s v="NOGUEIRA"/>
        <s v="MARINA"/>
        <s v="CAITANO"/>
        <s v="MADONA"/>
        <s v="ERNESTO"/>
        <s v="ISABEL"/>
        <m u="1"/>
        <s v="CASAR" u="1"/>
        <s v="DIEGO " u="1"/>
        <s v="IMOB. T - MAX" u="1"/>
        <s v="VANIA " u="1"/>
        <s v="CRIS" u="1"/>
        <s v="FARIA " u="1"/>
        <s v="IMOBILIARIA TERCEIROS - FERNANDO" u="1"/>
        <s v="WILLIAN" u="1"/>
        <s v="BRUNO " u="1"/>
        <s v="SUZANA" u="1"/>
        <s v="JULIANA" u="1"/>
        <s v="ROSE" u="1"/>
        <s v="ALEXANDRE " u="1"/>
        <s v="NEUZA" u="1"/>
        <s v="IMOBILIARIA TERCEIROS" u="1"/>
        <s v="IMOB. T - FERNANDO" u="1"/>
        <s v="TILICO " u="1"/>
        <s v="IMOBILIARIA TERCEIROS - MACHADO" u="1"/>
        <s v="IMOBILIÁRIA TERCEIROS - MACHADO" u="1"/>
        <s v="NEIVA " u="1"/>
        <s v="GISELE " u="1"/>
        <s v="MIL" u="1"/>
        <s v="JAIME " u="1"/>
        <s v="IMOB. T - MACHADO" u="1"/>
        <s v="Bonafé" u="1"/>
        <s v="RAFAEL" u="1"/>
        <s v="GILDA" u="1"/>
        <s v="SILVA" u="1"/>
        <s v="PATRICIO" u="1"/>
        <s v="IMOBILIARIA TERCEIROS - FALCÃO" u="1"/>
      </sharedItems>
    </cacheField>
    <cacheField name="Gerente" numFmtId="0">
      <sharedItems containsMixedTypes="1" containsNumber="1" containsInteger="1" minValue="0" maxValue="0" count="13">
        <s v="VITOR"/>
        <s v="MOSHE"/>
        <s v="JIMMY"/>
        <s v="ROBSON"/>
        <s v="ABILIO"/>
        <s v="BONAFE"/>
        <s v="LOURENÇO"/>
        <s v="PIANTE"/>
        <s v="DOUGLAS"/>
        <s v="LUCIANO"/>
        <s v="GIULIANO"/>
        <s v="FRED"/>
        <n v="0" u="1"/>
      </sharedItems>
    </cacheField>
    <cacheField name="VGV" numFmtId="0">
      <sharedItems containsSemiMixedTypes="0" containsString="0" containsNumber="1" minValue="13558.87" maxValue="5918632.2400000002"/>
    </cacheField>
    <cacheField name="Vendas" numFmtId="0">
      <sharedItems containsSemiMixedTypes="0" containsString="0" containsNumber="1" minValue="0.25" maxValue="12"/>
    </cacheField>
    <cacheField name="mês" numFmtId="171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Ano" numFmtId="171">
      <sharedItems containsSemiMixedTypes="0" containsString="0" containsNumber="1" containsInteger="1" minValue="1900" maxValue="5013" count="5">
        <n v="2013"/>
        <n v="2014"/>
        <n v="5013" u="1"/>
        <n v="1900" u="1"/>
        <n v="2012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63">
  <r>
    <x v="0"/>
    <s v="Buriti"/>
    <n v="22"/>
    <x v="0"/>
    <x v="0"/>
    <x v="0"/>
    <x v="0"/>
    <x v="0"/>
    <n v="222000"/>
    <n v="1"/>
    <x v="0"/>
    <x v="0"/>
  </r>
  <r>
    <x v="1"/>
    <s v="Felicidade"/>
    <n v="128"/>
    <x v="0"/>
    <x v="0"/>
    <x v="1"/>
    <x v="1"/>
    <x v="1"/>
    <n v="252200"/>
    <n v="1"/>
    <x v="0"/>
    <x v="0"/>
  </r>
  <r>
    <x v="2"/>
    <s v="Pitangueira"/>
    <n v="1"/>
    <x v="0"/>
    <x v="0"/>
    <x v="1"/>
    <x v="2"/>
    <x v="2"/>
    <n v="201875"/>
    <n v="1"/>
    <x v="0"/>
    <x v="0"/>
  </r>
  <r>
    <x v="3"/>
    <s v="Class Varanda Mariana"/>
    <n v="177"/>
    <x v="0"/>
    <x v="0"/>
    <x v="1"/>
    <x v="3"/>
    <x v="3"/>
    <n v="453000.06"/>
    <n v="0.5"/>
    <x v="0"/>
    <x v="0"/>
  </r>
  <r>
    <x v="3"/>
    <s v="Class Varanda Mariana"/>
    <n v="177"/>
    <x v="0"/>
    <x v="0"/>
    <x v="1"/>
    <x v="4"/>
    <x v="3"/>
    <n v="453000.06"/>
    <n v="0.5"/>
    <x v="0"/>
    <x v="0"/>
  </r>
  <r>
    <x v="4"/>
    <s v="Tons da Villa"/>
    <n v="173"/>
    <x v="0"/>
    <x v="0"/>
    <x v="2"/>
    <x v="5"/>
    <x v="1"/>
    <n v="374300"/>
    <n v="1"/>
    <x v="0"/>
    <x v="0"/>
  </r>
  <r>
    <x v="5"/>
    <s v="Acqua"/>
    <n v="2"/>
    <x v="0"/>
    <x v="0"/>
    <x v="3"/>
    <x v="6"/>
    <x v="2"/>
    <n v="217814.01"/>
    <n v="1"/>
    <x v="0"/>
    <x v="0"/>
  </r>
  <r>
    <x v="1"/>
    <s v="Felicidade"/>
    <n v="185"/>
    <x v="0"/>
    <x v="0"/>
    <x v="4"/>
    <x v="7"/>
    <x v="4"/>
    <n v="261000"/>
    <n v="1"/>
    <x v="0"/>
    <x v="0"/>
  </r>
  <r>
    <x v="2"/>
    <s v="Andiroba"/>
    <n v="42"/>
    <x v="0"/>
    <x v="0"/>
    <x v="5"/>
    <x v="6"/>
    <x v="2"/>
    <n v="175313"/>
    <n v="1"/>
    <x v="0"/>
    <x v="0"/>
  </r>
  <r>
    <x v="0"/>
    <s v="Acácia"/>
    <n v="174"/>
    <x v="0"/>
    <x v="0"/>
    <x v="6"/>
    <x v="0"/>
    <x v="0"/>
    <n v="202000"/>
    <n v="1"/>
    <x v="0"/>
    <x v="0"/>
  </r>
  <r>
    <x v="6"/>
    <s v="Alameda das Flores"/>
    <n v="45"/>
    <x v="1"/>
    <x v="0"/>
    <x v="7"/>
    <x v="8"/>
    <x v="5"/>
    <n v="235000"/>
    <n v="1"/>
    <x v="0"/>
    <x v="0"/>
  </r>
  <r>
    <x v="6"/>
    <s v="Caminho dos Passaros"/>
    <n v="106"/>
    <x v="0"/>
    <x v="0"/>
    <x v="7"/>
    <x v="9"/>
    <x v="2"/>
    <n v="193000.01"/>
    <n v="1"/>
    <x v="0"/>
    <x v="0"/>
  </r>
  <r>
    <x v="0"/>
    <s v="Acácia"/>
    <n v="143"/>
    <x v="1"/>
    <x v="0"/>
    <x v="8"/>
    <x v="10"/>
    <x v="5"/>
    <n v="210888.7"/>
    <n v="1"/>
    <x v="0"/>
    <x v="0"/>
  </r>
  <r>
    <x v="5"/>
    <s v="Solar"/>
    <n v="6"/>
    <x v="0"/>
    <x v="0"/>
    <x v="9"/>
    <x v="2"/>
    <x v="2"/>
    <n v="180625"/>
    <n v="1"/>
    <x v="0"/>
    <x v="0"/>
  </r>
  <r>
    <x v="1"/>
    <s v="Felicidade"/>
    <n v="113"/>
    <x v="0"/>
    <x v="0"/>
    <x v="10"/>
    <x v="7"/>
    <x v="4"/>
    <n v="241123"/>
    <n v="1"/>
    <x v="0"/>
    <x v="0"/>
  </r>
  <r>
    <x v="6"/>
    <s v="Alameda das Flores"/>
    <n v="27"/>
    <x v="1"/>
    <x v="0"/>
    <x v="10"/>
    <x v="11"/>
    <x v="5"/>
    <n v="182000"/>
    <n v="1"/>
    <x v="0"/>
    <x v="0"/>
  </r>
  <r>
    <x v="7"/>
    <s v="Magnolia"/>
    <n v="111"/>
    <x v="1"/>
    <x v="0"/>
    <x v="10"/>
    <x v="10"/>
    <x v="5"/>
    <n v="790000"/>
    <n v="1"/>
    <x v="0"/>
    <x v="0"/>
  </r>
  <r>
    <x v="7"/>
    <s v="Magnolia"/>
    <n v="134"/>
    <x v="1"/>
    <x v="0"/>
    <x v="10"/>
    <x v="10"/>
    <x v="5"/>
    <n v="870430.13"/>
    <n v="1"/>
    <x v="0"/>
    <x v="0"/>
  </r>
  <r>
    <x v="7"/>
    <s v="Magnolia"/>
    <n v="171"/>
    <x v="0"/>
    <x v="0"/>
    <x v="10"/>
    <x v="12"/>
    <x v="4"/>
    <n v="830000.22"/>
    <n v="1"/>
    <x v="0"/>
    <x v="0"/>
  </r>
  <r>
    <x v="7"/>
    <s v="Magnolia"/>
    <n v="184"/>
    <x v="0"/>
    <x v="0"/>
    <x v="10"/>
    <x v="13"/>
    <x v="2"/>
    <n v="788790.99"/>
    <n v="1"/>
    <x v="0"/>
    <x v="0"/>
  </r>
  <r>
    <x v="1"/>
    <s v="Amizade"/>
    <n v="46"/>
    <x v="0"/>
    <x v="0"/>
    <x v="11"/>
    <x v="14"/>
    <x v="0"/>
    <n v="312776.49"/>
    <n v="1"/>
    <x v="0"/>
    <x v="0"/>
  </r>
  <r>
    <x v="3"/>
    <s v="Class Varanda Mariana"/>
    <n v="51"/>
    <x v="1"/>
    <x v="0"/>
    <x v="12"/>
    <x v="11"/>
    <x v="5"/>
    <n v="477650.03"/>
    <n v="1"/>
    <x v="0"/>
    <x v="0"/>
  </r>
  <r>
    <x v="3"/>
    <s v="Class Varanda Mariana"/>
    <n v="72"/>
    <x v="0"/>
    <x v="0"/>
    <x v="13"/>
    <x v="15"/>
    <x v="3"/>
    <n v="612000"/>
    <n v="1"/>
    <x v="0"/>
    <x v="0"/>
  </r>
  <r>
    <x v="8"/>
    <s v="Duquesa"/>
    <n v="223"/>
    <x v="2"/>
    <x v="1"/>
    <x v="13"/>
    <x v="16"/>
    <x v="6"/>
    <n v="824561.24"/>
    <n v="1"/>
    <x v="0"/>
    <x v="0"/>
  </r>
  <r>
    <x v="4"/>
    <s v="Tons da Villa"/>
    <n v="176"/>
    <x v="1"/>
    <x v="0"/>
    <x v="14"/>
    <x v="11"/>
    <x v="5"/>
    <n v="360000"/>
    <n v="1"/>
    <x v="0"/>
    <x v="0"/>
  </r>
  <r>
    <x v="1"/>
    <s v="Felicidade"/>
    <n v="175"/>
    <x v="0"/>
    <x v="0"/>
    <x v="15"/>
    <x v="17"/>
    <x v="7"/>
    <n v="258320"/>
    <n v="1"/>
    <x v="0"/>
    <x v="0"/>
  </r>
  <r>
    <x v="3"/>
    <s v="Class Varanda Mariana"/>
    <n v="43"/>
    <x v="0"/>
    <x v="0"/>
    <x v="15"/>
    <x v="18"/>
    <x v="4"/>
    <n v="641050"/>
    <n v="1"/>
    <x v="0"/>
    <x v="0"/>
  </r>
  <r>
    <x v="1"/>
    <s v="Felicidade"/>
    <n v="133"/>
    <x v="0"/>
    <x v="0"/>
    <x v="16"/>
    <x v="17"/>
    <x v="7"/>
    <n v="242000"/>
    <n v="1"/>
    <x v="1"/>
    <x v="0"/>
  </r>
  <r>
    <x v="3"/>
    <s v="Class Varanda Mariana"/>
    <n v="48"/>
    <x v="0"/>
    <x v="0"/>
    <x v="17"/>
    <x v="19"/>
    <x v="3"/>
    <n v="464234"/>
    <n v="1"/>
    <x v="1"/>
    <x v="0"/>
  </r>
  <r>
    <x v="3"/>
    <s v="Vaga Extra"/>
    <s v="00203M"/>
    <x v="0"/>
    <x v="0"/>
    <x v="18"/>
    <x v="19"/>
    <x v="3"/>
    <n v="30000"/>
    <n v="1"/>
    <x v="1"/>
    <x v="0"/>
  </r>
  <r>
    <x v="0"/>
    <s v="Acácia"/>
    <n v="105"/>
    <x v="0"/>
    <x v="0"/>
    <x v="19"/>
    <x v="0"/>
    <x v="0"/>
    <n v="246000"/>
    <n v="1"/>
    <x v="1"/>
    <x v="0"/>
  </r>
  <r>
    <x v="7"/>
    <s v="Lirio"/>
    <n v="134"/>
    <x v="0"/>
    <x v="0"/>
    <x v="20"/>
    <x v="20"/>
    <x v="7"/>
    <n v="670000"/>
    <n v="1"/>
    <x v="1"/>
    <x v="0"/>
  </r>
  <r>
    <x v="3"/>
    <s v="Class Varanda Mariana"/>
    <n v="23"/>
    <x v="0"/>
    <x v="0"/>
    <x v="21"/>
    <x v="21"/>
    <x v="7"/>
    <n v="636000"/>
    <n v="1"/>
    <x v="1"/>
    <x v="0"/>
  </r>
  <r>
    <x v="3"/>
    <s v="Class Varanda Mariana"/>
    <n v="73"/>
    <x v="0"/>
    <x v="0"/>
    <x v="21"/>
    <x v="22"/>
    <x v="7"/>
    <n v="606000"/>
    <n v="1"/>
    <x v="1"/>
    <x v="0"/>
  </r>
  <r>
    <x v="3"/>
    <s v="Vaga Extra"/>
    <s v="00220G"/>
    <x v="0"/>
    <x v="0"/>
    <x v="21"/>
    <x v="23"/>
    <x v="7"/>
    <n v="30700"/>
    <n v="1"/>
    <x v="1"/>
    <x v="0"/>
  </r>
  <r>
    <x v="0"/>
    <s v="Flamboyant"/>
    <n v="46"/>
    <x v="0"/>
    <x v="0"/>
    <x v="22"/>
    <x v="24"/>
    <x v="0"/>
    <n v="124000"/>
    <n v="0.5"/>
    <x v="1"/>
    <x v="0"/>
  </r>
  <r>
    <x v="0"/>
    <s v="Flamboyant"/>
    <n v="46"/>
    <x v="0"/>
    <x v="0"/>
    <x v="22"/>
    <x v="25"/>
    <x v="0"/>
    <n v="124000"/>
    <n v="0.5"/>
    <x v="1"/>
    <x v="0"/>
  </r>
  <r>
    <x v="1"/>
    <s v="Felicidade"/>
    <n v="158"/>
    <x v="0"/>
    <x v="0"/>
    <x v="23"/>
    <x v="7"/>
    <x v="4"/>
    <n v="220000"/>
    <n v="1"/>
    <x v="1"/>
    <x v="0"/>
  </r>
  <r>
    <x v="3"/>
    <s v="Class Varanda Mariana"/>
    <n v="32"/>
    <x v="0"/>
    <x v="0"/>
    <x v="24"/>
    <x v="26"/>
    <x v="2"/>
    <n v="595091.1"/>
    <n v="1"/>
    <x v="1"/>
    <x v="0"/>
  </r>
  <r>
    <x v="8"/>
    <s v="Duquesa"/>
    <n v="11"/>
    <x v="2"/>
    <x v="1"/>
    <x v="24"/>
    <x v="16"/>
    <x v="6"/>
    <n v="757695.77"/>
    <n v="1"/>
    <x v="1"/>
    <x v="0"/>
  </r>
  <r>
    <x v="3"/>
    <s v="Class Varanda Mariana"/>
    <n v="96"/>
    <x v="0"/>
    <x v="0"/>
    <x v="25"/>
    <x v="27"/>
    <x v="2"/>
    <n v="677040"/>
    <n v="1"/>
    <x v="1"/>
    <x v="0"/>
  </r>
  <r>
    <x v="4"/>
    <s v="Tons da Villa"/>
    <n v="158"/>
    <x v="0"/>
    <x v="0"/>
    <x v="25"/>
    <x v="28"/>
    <x v="2"/>
    <n v="364500"/>
    <n v="1"/>
    <x v="1"/>
    <x v="0"/>
  </r>
  <r>
    <x v="6"/>
    <s v="Alameda das Flores"/>
    <n v="132"/>
    <x v="0"/>
    <x v="0"/>
    <x v="26"/>
    <x v="9"/>
    <x v="2"/>
    <n v="195000"/>
    <n v="1"/>
    <x v="1"/>
    <x v="0"/>
  </r>
  <r>
    <x v="0"/>
    <s v="Flamboyant"/>
    <n v="108"/>
    <x v="0"/>
    <x v="0"/>
    <x v="27"/>
    <x v="0"/>
    <x v="0"/>
    <n v="209000"/>
    <n v="1"/>
    <x v="1"/>
    <x v="0"/>
  </r>
  <r>
    <x v="3"/>
    <s v="Class Varanda Mariana"/>
    <n v="78"/>
    <x v="0"/>
    <x v="0"/>
    <x v="27"/>
    <x v="29"/>
    <x v="4"/>
    <n v="502256.48"/>
    <n v="1"/>
    <x v="1"/>
    <x v="0"/>
  </r>
  <r>
    <x v="3"/>
    <s v="Class Varanda Mariana"/>
    <n v="125"/>
    <x v="0"/>
    <x v="0"/>
    <x v="27"/>
    <x v="30"/>
    <x v="7"/>
    <n v="390240"/>
    <n v="1"/>
    <x v="1"/>
    <x v="0"/>
  </r>
  <r>
    <x v="3"/>
    <s v="Class Varanda Mariana"/>
    <n v="126"/>
    <x v="0"/>
    <x v="0"/>
    <x v="27"/>
    <x v="30"/>
    <x v="7"/>
    <n v="500000"/>
    <n v="1"/>
    <x v="1"/>
    <x v="0"/>
  </r>
  <r>
    <x v="3"/>
    <s v="Class Varanda Mariana"/>
    <n v="132"/>
    <x v="0"/>
    <x v="0"/>
    <x v="27"/>
    <x v="31"/>
    <x v="3"/>
    <n v="330816.82"/>
    <n v="0.5"/>
    <x v="1"/>
    <x v="0"/>
  </r>
  <r>
    <x v="3"/>
    <s v="Class Varanda Mariana"/>
    <n v="132"/>
    <x v="0"/>
    <x v="0"/>
    <x v="27"/>
    <x v="19"/>
    <x v="3"/>
    <n v="330816.82"/>
    <n v="0.5"/>
    <x v="1"/>
    <x v="0"/>
  </r>
  <r>
    <x v="1"/>
    <s v="Felicidade"/>
    <n v="172"/>
    <x v="1"/>
    <x v="0"/>
    <x v="28"/>
    <x v="8"/>
    <x v="5"/>
    <n v="274500"/>
    <n v="1"/>
    <x v="1"/>
    <x v="0"/>
  </r>
  <r>
    <x v="8"/>
    <s v="Condessa"/>
    <n v="233"/>
    <x v="2"/>
    <x v="1"/>
    <x v="29"/>
    <x v="16"/>
    <x v="6"/>
    <n v="887609.42"/>
    <n v="1"/>
    <x v="1"/>
    <x v="0"/>
  </r>
  <r>
    <x v="3"/>
    <s v="Class Varanda Mariana"/>
    <n v="36"/>
    <x v="0"/>
    <x v="0"/>
    <x v="30"/>
    <x v="32"/>
    <x v="0"/>
    <n v="643500"/>
    <n v="1"/>
    <x v="1"/>
    <x v="0"/>
  </r>
  <r>
    <x v="3"/>
    <s v="Class Varanda Mariana"/>
    <n v="176"/>
    <x v="1"/>
    <x v="0"/>
    <x v="30"/>
    <x v="8"/>
    <x v="5"/>
    <n v="879628.35"/>
    <n v="1"/>
    <x v="1"/>
    <x v="0"/>
  </r>
  <r>
    <x v="3"/>
    <s v="Class Varanda Mariana"/>
    <n v="35"/>
    <x v="0"/>
    <x v="0"/>
    <x v="31"/>
    <x v="22"/>
    <x v="7"/>
    <n v="473200"/>
    <n v="1"/>
    <x v="1"/>
    <x v="0"/>
  </r>
  <r>
    <x v="3"/>
    <s v="Host Paraíso"/>
    <s v="00223M"/>
    <x v="0"/>
    <x v="0"/>
    <x v="31"/>
    <x v="22"/>
    <x v="7"/>
    <n v="31891"/>
    <n v="1"/>
    <x v="1"/>
    <x v="0"/>
  </r>
  <r>
    <x v="9"/>
    <s v="Host Paraíso"/>
    <n v="1102"/>
    <x v="2"/>
    <x v="1"/>
    <x v="31"/>
    <x v="16"/>
    <x v="6"/>
    <n v="620000"/>
    <n v="1"/>
    <x v="1"/>
    <x v="0"/>
  </r>
  <r>
    <x v="7"/>
    <s v="Amarilis"/>
    <n v="44"/>
    <x v="1"/>
    <x v="0"/>
    <x v="31"/>
    <x v="8"/>
    <x v="5"/>
    <n v="800000"/>
    <n v="1"/>
    <x v="1"/>
    <x v="0"/>
  </r>
  <r>
    <x v="10"/>
    <s v="Piazza Suprema"/>
    <n v="101"/>
    <x v="0"/>
    <x v="0"/>
    <x v="31"/>
    <x v="33"/>
    <x v="1"/>
    <n v="2190000"/>
    <n v="1"/>
    <x v="1"/>
    <x v="0"/>
  </r>
  <r>
    <x v="7"/>
    <s v="Lirio"/>
    <n v="113"/>
    <x v="0"/>
    <x v="0"/>
    <x v="32"/>
    <x v="20"/>
    <x v="7"/>
    <n v="660000"/>
    <n v="1"/>
    <x v="2"/>
    <x v="0"/>
  </r>
  <r>
    <x v="1"/>
    <s v="Felicidade"/>
    <n v="148"/>
    <x v="0"/>
    <x v="0"/>
    <x v="33"/>
    <x v="5"/>
    <x v="1"/>
    <n v="124290"/>
    <n v="0.5"/>
    <x v="2"/>
    <x v="0"/>
  </r>
  <r>
    <x v="1"/>
    <s v="Felicidade"/>
    <n v="148"/>
    <x v="0"/>
    <x v="0"/>
    <x v="33"/>
    <x v="34"/>
    <x v="1"/>
    <n v="124290"/>
    <n v="0.5"/>
    <x v="2"/>
    <x v="0"/>
  </r>
  <r>
    <x v="3"/>
    <s v="Class Varanda Mariana"/>
    <n v="103"/>
    <x v="0"/>
    <x v="0"/>
    <x v="34"/>
    <x v="27"/>
    <x v="2"/>
    <n v="667999.94999999995"/>
    <n v="1"/>
    <x v="2"/>
    <x v="0"/>
  </r>
  <r>
    <x v="3"/>
    <s v="Vaga Extra"/>
    <s v="00132G"/>
    <x v="0"/>
    <x v="0"/>
    <x v="34"/>
    <x v="29"/>
    <x v="4"/>
    <n v="31443"/>
    <n v="1"/>
    <x v="2"/>
    <x v="0"/>
  </r>
  <r>
    <x v="0"/>
    <s v="Flamboyant"/>
    <n v="107"/>
    <x v="0"/>
    <x v="0"/>
    <x v="35"/>
    <x v="6"/>
    <x v="2"/>
    <n v="198058"/>
    <n v="1"/>
    <x v="2"/>
    <x v="0"/>
  </r>
  <r>
    <x v="6"/>
    <s v="Caminho dos Passaros"/>
    <n v="104"/>
    <x v="0"/>
    <x v="0"/>
    <x v="36"/>
    <x v="9"/>
    <x v="2"/>
    <n v="240960.82"/>
    <n v="1"/>
    <x v="2"/>
    <x v="0"/>
  </r>
  <r>
    <x v="11"/>
    <s v="Decor Paraíso"/>
    <n v="43"/>
    <x v="1"/>
    <x v="0"/>
    <x v="36"/>
    <x v="8"/>
    <x v="5"/>
    <n v="411000"/>
    <n v="1"/>
    <x v="2"/>
    <x v="0"/>
  </r>
  <r>
    <x v="12"/>
    <s v="Gallery Offices"/>
    <n v="702"/>
    <x v="0"/>
    <x v="0"/>
    <x v="36"/>
    <x v="35"/>
    <x v="4"/>
    <n v="224264.27"/>
    <n v="0.5"/>
    <x v="2"/>
    <x v="0"/>
  </r>
  <r>
    <x v="12"/>
    <s v="Gallery Offices"/>
    <n v="702"/>
    <x v="0"/>
    <x v="0"/>
    <x v="36"/>
    <x v="36"/>
    <x v="3"/>
    <n v="224264.27"/>
    <n v="0.5"/>
    <x v="2"/>
    <x v="0"/>
  </r>
  <r>
    <x v="12"/>
    <s v="Gallery Offices"/>
    <n v="703"/>
    <x v="0"/>
    <x v="0"/>
    <x v="36"/>
    <x v="35"/>
    <x v="4"/>
    <n v="224443.27"/>
    <n v="0.5"/>
    <x v="2"/>
    <x v="0"/>
  </r>
  <r>
    <x v="12"/>
    <s v="Gallery Offices"/>
    <n v="703"/>
    <x v="0"/>
    <x v="0"/>
    <x v="36"/>
    <x v="36"/>
    <x v="3"/>
    <n v="224443.27"/>
    <n v="0.5"/>
    <x v="2"/>
    <x v="0"/>
  </r>
  <r>
    <x v="13"/>
    <s v="New Station"/>
    <n v="101"/>
    <x v="0"/>
    <x v="2"/>
    <x v="37"/>
    <x v="37"/>
    <x v="1"/>
    <n v="214848.07"/>
    <n v="0.5"/>
    <x v="2"/>
    <x v="0"/>
  </r>
  <r>
    <x v="13"/>
    <s v="New Station"/>
    <n v="102"/>
    <x v="0"/>
    <x v="2"/>
    <x v="37"/>
    <x v="38"/>
    <x v="2"/>
    <n v="218880.01"/>
    <n v="0.5"/>
    <x v="2"/>
    <x v="0"/>
  </r>
  <r>
    <x v="13"/>
    <s v="New Station"/>
    <n v="102"/>
    <x v="0"/>
    <x v="2"/>
    <x v="37"/>
    <x v="39"/>
    <x v="7"/>
    <n v="218880.01"/>
    <n v="0.5"/>
    <x v="2"/>
    <x v="0"/>
  </r>
  <r>
    <x v="13"/>
    <s v="New Station"/>
    <n v="105"/>
    <x v="0"/>
    <x v="2"/>
    <x v="37"/>
    <x v="40"/>
    <x v="0"/>
    <n v="397899.91"/>
    <n v="1"/>
    <x v="2"/>
    <x v="0"/>
  </r>
  <r>
    <x v="13"/>
    <s v="New Station"/>
    <n v="106"/>
    <x v="1"/>
    <x v="2"/>
    <x v="37"/>
    <x v="10"/>
    <x v="5"/>
    <n v="390000"/>
    <n v="1"/>
    <x v="2"/>
    <x v="0"/>
  </r>
  <r>
    <x v="13"/>
    <s v="New Station"/>
    <n v="107"/>
    <x v="0"/>
    <x v="2"/>
    <x v="37"/>
    <x v="30"/>
    <x v="7"/>
    <n v="372800"/>
    <n v="1"/>
    <x v="2"/>
    <x v="0"/>
  </r>
  <r>
    <x v="13"/>
    <s v="New Station"/>
    <n v="109"/>
    <x v="1"/>
    <x v="2"/>
    <x v="37"/>
    <x v="8"/>
    <x v="5"/>
    <n v="428268.1"/>
    <n v="1"/>
    <x v="2"/>
    <x v="0"/>
  </r>
  <r>
    <x v="13"/>
    <s v="New Station"/>
    <n v="301"/>
    <x v="0"/>
    <x v="2"/>
    <x v="37"/>
    <x v="41"/>
    <x v="1"/>
    <n v="214848.07"/>
    <n v="0.5"/>
    <x v="2"/>
    <x v="0"/>
  </r>
  <r>
    <x v="13"/>
    <s v="New Station"/>
    <n v="301"/>
    <x v="0"/>
    <x v="2"/>
    <x v="37"/>
    <x v="4"/>
    <x v="3"/>
    <n v="214848.07"/>
    <n v="0.5"/>
    <x v="2"/>
    <x v="0"/>
  </r>
  <r>
    <x v="13"/>
    <s v="New Station"/>
    <n v="302"/>
    <x v="0"/>
    <x v="2"/>
    <x v="37"/>
    <x v="41"/>
    <x v="1"/>
    <n v="109440"/>
    <n v="0.25"/>
    <x v="2"/>
    <x v="0"/>
  </r>
  <r>
    <x v="13"/>
    <s v="New Station"/>
    <n v="302"/>
    <x v="0"/>
    <x v="2"/>
    <x v="37"/>
    <x v="4"/>
    <x v="3"/>
    <n v="109440"/>
    <n v="0.25"/>
    <x v="2"/>
    <x v="0"/>
  </r>
  <r>
    <x v="13"/>
    <s v="New Station"/>
    <n v="303"/>
    <x v="0"/>
    <x v="2"/>
    <x v="37"/>
    <x v="42"/>
    <x v="3"/>
    <n v="423936.14"/>
    <n v="1"/>
    <x v="2"/>
    <x v="0"/>
  </r>
  <r>
    <x v="13"/>
    <s v="New Station"/>
    <n v="304"/>
    <x v="0"/>
    <x v="2"/>
    <x v="37"/>
    <x v="42"/>
    <x v="3"/>
    <n v="354544.68"/>
    <n v="1"/>
    <x v="2"/>
    <x v="0"/>
  </r>
  <r>
    <x v="13"/>
    <s v="New Station"/>
    <n v="305"/>
    <x v="0"/>
    <x v="2"/>
    <x v="37"/>
    <x v="4"/>
    <x v="3"/>
    <n v="435735.76"/>
    <n v="1"/>
    <x v="2"/>
    <x v="0"/>
  </r>
  <r>
    <x v="13"/>
    <s v="New Station"/>
    <n v="306"/>
    <x v="0"/>
    <x v="2"/>
    <x v="37"/>
    <x v="4"/>
    <x v="3"/>
    <n v="429696.14"/>
    <n v="1"/>
    <x v="2"/>
    <x v="0"/>
  </r>
  <r>
    <x v="13"/>
    <s v="New Station"/>
    <n v="307"/>
    <x v="0"/>
    <x v="2"/>
    <x v="37"/>
    <x v="4"/>
    <x v="3"/>
    <n v="413273.32"/>
    <n v="1"/>
    <x v="2"/>
    <x v="0"/>
  </r>
  <r>
    <x v="13"/>
    <s v="New Station"/>
    <n v="308"/>
    <x v="0"/>
    <x v="2"/>
    <x v="37"/>
    <x v="4"/>
    <x v="3"/>
    <n v="438954.6"/>
    <n v="1"/>
    <x v="2"/>
    <x v="0"/>
  </r>
  <r>
    <x v="13"/>
    <s v="New Station"/>
    <n v="309"/>
    <x v="0"/>
    <x v="2"/>
    <x v="37"/>
    <x v="4"/>
    <x v="3"/>
    <n v="423936.14"/>
    <n v="1"/>
    <x v="2"/>
    <x v="0"/>
  </r>
  <r>
    <x v="13"/>
    <s v="New Station"/>
    <n v="310"/>
    <x v="0"/>
    <x v="2"/>
    <x v="37"/>
    <x v="4"/>
    <x v="3"/>
    <n v="423936.14"/>
    <n v="1"/>
    <x v="2"/>
    <x v="0"/>
  </r>
  <r>
    <x v="13"/>
    <s v="New Station"/>
    <n v="311"/>
    <x v="0"/>
    <x v="2"/>
    <x v="37"/>
    <x v="4"/>
    <x v="3"/>
    <n v="399814.5"/>
    <n v="1"/>
    <x v="2"/>
    <x v="0"/>
  </r>
  <r>
    <x v="13"/>
    <s v="New Station"/>
    <n v="312"/>
    <x v="1"/>
    <x v="2"/>
    <x v="37"/>
    <x v="10"/>
    <x v="5"/>
    <n v="193680"/>
    <n v="0.5"/>
    <x v="2"/>
    <x v="0"/>
  </r>
  <r>
    <x v="13"/>
    <s v="New Station"/>
    <n v="101"/>
    <x v="0"/>
    <x v="2"/>
    <x v="37"/>
    <x v="43"/>
    <x v="4"/>
    <n v="214848.07"/>
    <n v="0.5"/>
    <x v="2"/>
    <x v="0"/>
  </r>
  <r>
    <x v="13"/>
    <s v="New Station"/>
    <n v="401"/>
    <x v="1"/>
    <x v="2"/>
    <x v="37"/>
    <x v="8"/>
    <x v="5"/>
    <n v="408516.96"/>
    <n v="1"/>
    <x v="2"/>
    <x v="0"/>
  </r>
  <r>
    <x v="13"/>
    <s v="New Station"/>
    <n v="402"/>
    <x v="1"/>
    <x v="2"/>
    <x v="37"/>
    <x v="8"/>
    <x v="5"/>
    <n v="416183.53"/>
    <n v="1"/>
    <x v="2"/>
    <x v="0"/>
  </r>
  <r>
    <x v="13"/>
    <s v="New Station"/>
    <n v="403"/>
    <x v="1"/>
    <x v="2"/>
    <x v="37"/>
    <x v="8"/>
    <x v="5"/>
    <n v="403041"/>
    <n v="1"/>
    <x v="2"/>
    <x v="0"/>
  </r>
  <r>
    <x v="13"/>
    <s v="New Station"/>
    <n v="510"/>
    <x v="1"/>
    <x v="2"/>
    <x v="37"/>
    <x v="10"/>
    <x v="5"/>
    <n v="216624.07"/>
    <n v="0.5"/>
    <x v="2"/>
    <x v="0"/>
  </r>
  <r>
    <x v="13"/>
    <s v="New Station"/>
    <n v="511"/>
    <x v="1"/>
    <x v="2"/>
    <x v="37"/>
    <x v="10"/>
    <x v="5"/>
    <n v="224315.41"/>
    <n v="0.5"/>
    <x v="2"/>
    <x v="0"/>
  </r>
  <r>
    <x v="13"/>
    <s v="New Station"/>
    <n v="512"/>
    <x v="1"/>
    <x v="2"/>
    <x v="37"/>
    <x v="10"/>
    <x v="5"/>
    <n v="219893.29"/>
    <n v="0.5"/>
    <x v="2"/>
    <x v="0"/>
  </r>
  <r>
    <x v="13"/>
    <s v="New Station"/>
    <n v="601"/>
    <x v="1"/>
    <x v="2"/>
    <x v="37"/>
    <x v="8"/>
    <x v="5"/>
    <n v="370000"/>
    <n v="1"/>
    <x v="2"/>
    <x v="0"/>
  </r>
  <r>
    <x v="13"/>
    <s v="New Station"/>
    <n v="602"/>
    <x v="1"/>
    <x v="2"/>
    <x v="37"/>
    <x v="11"/>
    <x v="5"/>
    <n v="370000"/>
    <n v="1"/>
    <x v="2"/>
    <x v="0"/>
  </r>
  <r>
    <x v="13"/>
    <s v="New Station"/>
    <n v="603"/>
    <x v="1"/>
    <x v="2"/>
    <x v="37"/>
    <x v="10"/>
    <x v="5"/>
    <n v="403102.03"/>
    <n v="1"/>
    <x v="2"/>
    <x v="0"/>
  </r>
  <r>
    <x v="13"/>
    <s v="New Station"/>
    <n v="605"/>
    <x v="0"/>
    <x v="2"/>
    <x v="37"/>
    <x v="42"/>
    <x v="3"/>
    <n v="411319.35"/>
    <n v="1"/>
    <x v="2"/>
    <x v="0"/>
  </r>
  <r>
    <x v="13"/>
    <s v="New Station"/>
    <n v="606"/>
    <x v="0"/>
    <x v="2"/>
    <x v="37"/>
    <x v="44"/>
    <x v="1"/>
    <n v="440249.72"/>
    <n v="1"/>
    <x v="2"/>
    <x v="0"/>
  </r>
  <r>
    <x v="13"/>
    <s v="New Station"/>
    <n v="607"/>
    <x v="0"/>
    <x v="2"/>
    <x v="37"/>
    <x v="44"/>
    <x v="1"/>
    <n v="440249.72"/>
    <n v="1"/>
    <x v="2"/>
    <x v="0"/>
  </r>
  <r>
    <x v="13"/>
    <s v="New Station"/>
    <n v="609"/>
    <x v="0"/>
    <x v="2"/>
    <x v="37"/>
    <x v="39"/>
    <x v="7"/>
    <n v="432768.05"/>
    <n v="1"/>
    <x v="2"/>
    <x v="0"/>
  </r>
  <r>
    <x v="13"/>
    <s v="New Station"/>
    <n v="610"/>
    <x v="0"/>
    <x v="2"/>
    <x v="37"/>
    <x v="45"/>
    <x v="0"/>
    <n v="389830"/>
    <n v="1"/>
    <x v="2"/>
    <x v="0"/>
  </r>
  <r>
    <x v="13"/>
    <s v="New Station"/>
    <n v="612"/>
    <x v="0"/>
    <x v="2"/>
    <x v="37"/>
    <x v="46"/>
    <x v="2"/>
    <n v="216274.34"/>
    <n v="0.5"/>
    <x v="2"/>
    <x v="0"/>
  </r>
  <r>
    <x v="13"/>
    <s v="New Station"/>
    <n v="612"/>
    <x v="0"/>
    <x v="2"/>
    <x v="37"/>
    <x v="47"/>
    <x v="2"/>
    <n v="216274.34"/>
    <n v="0.5"/>
    <x v="2"/>
    <x v="0"/>
  </r>
  <r>
    <x v="13"/>
    <s v="New Station"/>
    <n v="701"/>
    <x v="0"/>
    <x v="2"/>
    <x v="37"/>
    <x v="39"/>
    <x v="7"/>
    <n v="447600.01"/>
    <n v="1"/>
    <x v="2"/>
    <x v="0"/>
  </r>
  <r>
    <x v="13"/>
    <s v="New Station"/>
    <n v="702"/>
    <x v="0"/>
    <x v="2"/>
    <x v="37"/>
    <x v="39"/>
    <x v="7"/>
    <n v="455999.99"/>
    <n v="1"/>
    <x v="2"/>
    <x v="0"/>
  </r>
  <r>
    <x v="13"/>
    <s v="New Station"/>
    <n v="712"/>
    <x v="0"/>
    <x v="2"/>
    <x v="37"/>
    <x v="48"/>
    <x v="2"/>
    <n v="186560"/>
    <n v="0.5"/>
    <x v="2"/>
    <x v="0"/>
  </r>
  <r>
    <x v="13"/>
    <s v="New Station"/>
    <n v="712"/>
    <x v="0"/>
    <x v="2"/>
    <x v="37"/>
    <x v="5"/>
    <x v="1"/>
    <n v="186560"/>
    <n v="0.5"/>
    <x v="2"/>
    <x v="0"/>
  </r>
  <r>
    <x v="13"/>
    <s v="New Station"/>
    <n v="901"/>
    <x v="0"/>
    <x v="2"/>
    <x v="37"/>
    <x v="44"/>
    <x v="1"/>
    <n v="418000"/>
    <n v="1"/>
    <x v="2"/>
    <x v="0"/>
  </r>
  <r>
    <x v="13"/>
    <s v="New Station"/>
    <n v="905"/>
    <x v="0"/>
    <x v="2"/>
    <x v="37"/>
    <x v="49"/>
    <x v="7"/>
    <n v="224600"/>
    <n v="0.5"/>
    <x v="2"/>
    <x v="0"/>
  </r>
  <r>
    <x v="13"/>
    <s v="New Station"/>
    <n v="905"/>
    <x v="0"/>
    <x v="2"/>
    <x v="37"/>
    <x v="50"/>
    <x v="7"/>
    <n v="224600"/>
    <n v="0.5"/>
    <x v="2"/>
    <x v="0"/>
  </r>
  <r>
    <x v="13"/>
    <s v="New Station"/>
    <n v="907"/>
    <x v="0"/>
    <x v="2"/>
    <x v="37"/>
    <x v="51"/>
    <x v="2"/>
    <n v="478931.95"/>
    <n v="1"/>
    <x v="2"/>
    <x v="0"/>
  </r>
  <r>
    <x v="13"/>
    <s v="New Station"/>
    <n v="908"/>
    <x v="0"/>
    <x v="2"/>
    <x v="37"/>
    <x v="51"/>
    <x v="2"/>
    <n v="488219.99"/>
    <n v="1"/>
    <x v="2"/>
    <x v="0"/>
  </r>
  <r>
    <x v="13"/>
    <s v="New Station"/>
    <n v="910"/>
    <x v="0"/>
    <x v="2"/>
    <x v="37"/>
    <x v="23"/>
    <x v="7"/>
    <n v="394408.55"/>
    <n v="1"/>
    <x v="2"/>
    <x v="0"/>
  </r>
  <r>
    <x v="13"/>
    <s v="New Station"/>
    <n v="312"/>
    <x v="0"/>
    <x v="2"/>
    <x v="37"/>
    <x v="52"/>
    <x v="4"/>
    <n v="193680"/>
    <n v="0.5"/>
    <x v="2"/>
    <x v="0"/>
  </r>
  <r>
    <x v="13"/>
    <s v="New Station"/>
    <n v="911"/>
    <x v="0"/>
    <x v="2"/>
    <x v="37"/>
    <x v="43"/>
    <x v="4"/>
    <n v="237500"/>
    <n v="0.5"/>
    <x v="2"/>
    <x v="0"/>
  </r>
  <r>
    <x v="13"/>
    <s v="New Station"/>
    <n v="912"/>
    <x v="0"/>
    <x v="2"/>
    <x v="37"/>
    <x v="44"/>
    <x v="1"/>
    <n v="418000"/>
    <n v="1"/>
    <x v="2"/>
    <x v="0"/>
  </r>
  <r>
    <x v="13"/>
    <s v="New Station"/>
    <n v="1101"/>
    <x v="0"/>
    <x v="2"/>
    <x v="37"/>
    <x v="31"/>
    <x v="3"/>
    <n v="458010.29"/>
    <n v="1"/>
    <x v="2"/>
    <x v="0"/>
  </r>
  <r>
    <x v="13"/>
    <s v="New Station"/>
    <n v="1102"/>
    <x v="0"/>
    <x v="2"/>
    <x v="37"/>
    <x v="44"/>
    <x v="1"/>
    <n v="497678.49"/>
    <n v="1"/>
    <x v="2"/>
    <x v="0"/>
  </r>
  <r>
    <x v="13"/>
    <s v="New Station"/>
    <n v="1103"/>
    <x v="0"/>
    <x v="2"/>
    <x v="37"/>
    <x v="44"/>
    <x v="1"/>
    <n v="481962.14"/>
    <n v="1"/>
    <x v="2"/>
    <x v="0"/>
  </r>
  <r>
    <x v="13"/>
    <s v="New Station"/>
    <n v="1104"/>
    <x v="0"/>
    <x v="2"/>
    <x v="37"/>
    <x v="47"/>
    <x v="2"/>
    <n v="481976.8"/>
    <n v="1"/>
    <x v="2"/>
    <x v="0"/>
  </r>
  <r>
    <x v="13"/>
    <s v="New Station"/>
    <n v="1112"/>
    <x v="0"/>
    <x v="2"/>
    <x v="37"/>
    <x v="31"/>
    <x v="3"/>
    <n v="458010.29"/>
    <n v="1"/>
    <x v="2"/>
    <x v="0"/>
  </r>
  <r>
    <x v="13"/>
    <s v="New Station"/>
    <n v="1409"/>
    <x v="0"/>
    <x v="2"/>
    <x v="37"/>
    <x v="4"/>
    <x v="3"/>
    <n v="408133.8"/>
    <n v="1"/>
    <x v="2"/>
    <x v="0"/>
  </r>
  <r>
    <x v="13"/>
    <s v="New Station"/>
    <n v="1410"/>
    <x v="0"/>
    <x v="2"/>
    <x v="37"/>
    <x v="4"/>
    <x v="3"/>
    <n v="482283.98"/>
    <n v="1"/>
    <x v="2"/>
    <x v="0"/>
  </r>
  <r>
    <x v="13"/>
    <s v="New Station"/>
    <n v="1411"/>
    <x v="0"/>
    <x v="2"/>
    <x v="37"/>
    <x v="46"/>
    <x v="2"/>
    <n v="504570"/>
    <n v="1"/>
    <x v="2"/>
    <x v="0"/>
  </r>
  <r>
    <x v="13"/>
    <s v="New Station"/>
    <n v="911"/>
    <x v="0"/>
    <x v="2"/>
    <x v="37"/>
    <x v="53"/>
    <x v="4"/>
    <n v="237500"/>
    <n v="0.5"/>
    <x v="2"/>
    <x v="0"/>
  </r>
  <r>
    <x v="13"/>
    <s v="New Station"/>
    <s v="1001, 1002 E 1012"/>
    <x v="0"/>
    <x v="2"/>
    <x v="37"/>
    <x v="54"/>
    <x v="4"/>
    <n v="1438921"/>
    <n v="3"/>
    <x v="2"/>
    <x v="0"/>
  </r>
  <r>
    <x v="13"/>
    <s v="New Station"/>
    <s v="1006 E 1007"/>
    <x v="0"/>
    <x v="2"/>
    <x v="37"/>
    <x v="55"/>
    <x v="4"/>
    <n v="976850"/>
    <n v="2"/>
    <x v="2"/>
    <x v="0"/>
  </r>
  <r>
    <x v="13"/>
    <s v="New Station"/>
    <s v="110 E 111"/>
    <x v="0"/>
    <x v="2"/>
    <x v="37"/>
    <x v="24"/>
    <x v="0"/>
    <n v="430848.08"/>
    <n v="1"/>
    <x v="2"/>
    <x v="0"/>
  </r>
  <r>
    <x v="13"/>
    <s v="New Station"/>
    <s v="110 E 111"/>
    <x v="0"/>
    <x v="2"/>
    <x v="37"/>
    <x v="25"/>
    <x v="0"/>
    <n v="430848.08"/>
    <n v="1"/>
    <x v="2"/>
    <x v="0"/>
  </r>
  <r>
    <x v="13"/>
    <s v="New Station"/>
    <s v="1108 E 1111"/>
    <x v="0"/>
    <x v="2"/>
    <x v="37"/>
    <x v="56"/>
    <x v="0"/>
    <n v="915962.46"/>
    <n v="2"/>
    <x v="2"/>
    <x v="0"/>
  </r>
  <r>
    <x v="13"/>
    <s v="New Station"/>
    <s v="1109 E 1110"/>
    <x v="0"/>
    <x v="2"/>
    <x v="37"/>
    <x v="57"/>
    <x v="0"/>
    <n v="887037.54"/>
    <n v="2"/>
    <x v="2"/>
    <x v="0"/>
  </r>
  <r>
    <x v="13"/>
    <s v="New Station"/>
    <s v="104, 604, 1105 E 1106"/>
    <x v="0"/>
    <x v="2"/>
    <x v="37"/>
    <x v="58"/>
    <x v="4"/>
    <n v="1824092.52"/>
    <n v="4"/>
    <x v="2"/>
    <x v="0"/>
  </r>
  <r>
    <x v="13"/>
    <s v="New Station"/>
    <s v="903 E 904"/>
    <x v="0"/>
    <x v="2"/>
    <x v="37"/>
    <x v="59"/>
    <x v="0"/>
    <n v="945023.9"/>
    <n v="2"/>
    <x v="2"/>
    <x v="0"/>
  </r>
  <r>
    <x v="13"/>
    <s v="New Station"/>
    <s v="1501 ATE 1512"/>
    <x v="0"/>
    <x v="2"/>
    <x v="37"/>
    <x v="60"/>
    <x v="4"/>
    <n v="5918632.2400000002"/>
    <n v="12"/>
    <x v="2"/>
    <x v="0"/>
  </r>
  <r>
    <x v="14"/>
    <s v="Ares do Parque Aclimação"/>
    <n v="181"/>
    <x v="0"/>
    <x v="0"/>
    <x v="38"/>
    <x v="61"/>
    <x v="1"/>
    <n v="2050000"/>
    <n v="1"/>
    <x v="2"/>
    <x v="0"/>
  </r>
  <r>
    <x v="13"/>
    <s v="New Station"/>
    <n v="112"/>
    <x v="0"/>
    <x v="2"/>
    <x v="38"/>
    <x v="62"/>
    <x v="1"/>
    <n v="429696.14"/>
    <n v="1"/>
    <x v="2"/>
    <x v="0"/>
  </r>
  <r>
    <x v="13"/>
    <s v="New Station"/>
    <n v="404"/>
    <x v="1"/>
    <x v="2"/>
    <x v="38"/>
    <x v="8"/>
    <x v="5"/>
    <n v="400378.48"/>
    <n v="1"/>
    <x v="2"/>
    <x v="0"/>
  </r>
  <r>
    <x v="13"/>
    <s v="New Station"/>
    <n v="405"/>
    <x v="1"/>
    <x v="2"/>
    <x v="38"/>
    <x v="8"/>
    <x v="5"/>
    <n v="413528.75"/>
    <n v="1"/>
    <x v="2"/>
    <x v="0"/>
  </r>
  <r>
    <x v="13"/>
    <s v="New Station"/>
    <n v="406"/>
    <x v="1"/>
    <x v="2"/>
    <x v="38"/>
    <x v="8"/>
    <x v="5"/>
    <n v="405845.16"/>
    <n v="1"/>
    <x v="2"/>
    <x v="0"/>
  </r>
  <r>
    <x v="13"/>
    <s v="New Station"/>
    <n v="407"/>
    <x v="1"/>
    <x v="2"/>
    <x v="38"/>
    <x v="8"/>
    <x v="5"/>
    <n v="408516.96"/>
    <n v="1"/>
    <x v="2"/>
    <x v="0"/>
  </r>
  <r>
    <x v="13"/>
    <s v="New Station"/>
    <n v="608"/>
    <x v="0"/>
    <x v="2"/>
    <x v="38"/>
    <x v="61"/>
    <x v="1"/>
    <n v="446880.01"/>
    <n v="1"/>
    <x v="2"/>
    <x v="0"/>
  </r>
  <r>
    <x v="13"/>
    <s v="New Station"/>
    <n v="611"/>
    <x v="0"/>
    <x v="2"/>
    <x v="38"/>
    <x v="63"/>
    <x v="1"/>
    <n v="391134.97"/>
    <n v="1"/>
    <x v="2"/>
    <x v="0"/>
  </r>
  <r>
    <x v="13"/>
    <s v="New Station"/>
    <n v="906"/>
    <x v="0"/>
    <x v="2"/>
    <x v="38"/>
    <x v="64"/>
    <x v="1"/>
    <n v="218500"/>
    <n v="0.5"/>
    <x v="2"/>
    <x v="0"/>
  </r>
  <r>
    <x v="13"/>
    <s v="New Station"/>
    <n v="906"/>
    <x v="0"/>
    <x v="2"/>
    <x v="38"/>
    <x v="61"/>
    <x v="1"/>
    <n v="218500"/>
    <n v="0.5"/>
    <x v="2"/>
    <x v="0"/>
  </r>
  <r>
    <x v="13"/>
    <s v="New Station"/>
    <n v="1107"/>
    <x v="0"/>
    <x v="2"/>
    <x v="38"/>
    <x v="61"/>
    <x v="1"/>
    <n v="407269.77"/>
    <n v="1"/>
    <x v="2"/>
    <x v="0"/>
  </r>
  <r>
    <x v="13"/>
    <s v="New Station"/>
    <n v="1401"/>
    <x v="1"/>
    <x v="2"/>
    <x v="38"/>
    <x v="8"/>
    <x v="5"/>
    <n v="456572.4"/>
    <n v="1"/>
    <x v="2"/>
    <x v="0"/>
  </r>
  <r>
    <x v="13"/>
    <s v="New Station"/>
    <n v="1402"/>
    <x v="1"/>
    <x v="2"/>
    <x v="38"/>
    <x v="8"/>
    <x v="5"/>
    <n v="465445.9"/>
    <n v="1"/>
    <x v="2"/>
    <x v="0"/>
  </r>
  <r>
    <x v="13"/>
    <s v="New Station"/>
    <n v="1403"/>
    <x v="1"/>
    <x v="2"/>
    <x v="38"/>
    <x v="8"/>
    <x v="5"/>
    <n v="450219.3"/>
    <n v="1"/>
    <x v="2"/>
    <x v="0"/>
  </r>
  <r>
    <x v="13"/>
    <s v="New Station"/>
    <n v="1404"/>
    <x v="1"/>
    <x v="2"/>
    <x v="38"/>
    <x v="8"/>
    <x v="5"/>
    <n v="450219.3"/>
    <n v="1"/>
    <x v="2"/>
    <x v="0"/>
  </r>
  <r>
    <x v="13"/>
    <s v="New Station"/>
    <n v="1407"/>
    <x v="0"/>
    <x v="2"/>
    <x v="38"/>
    <x v="61"/>
    <x v="1"/>
    <n v="413413"/>
    <n v="1"/>
    <x v="2"/>
    <x v="0"/>
  </r>
  <r>
    <x v="13"/>
    <s v="New Station"/>
    <n v="1408"/>
    <x v="0"/>
    <x v="2"/>
    <x v="38"/>
    <x v="61"/>
    <x v="1"/>
    <n v="419330"/>
    <n v="1"/>
    <x v="2"/>
    <x v="0"/>
  </r>
  <r>
    <x v="13"/>
    <s v="New Station"/>
    <n v="1412"/>
    <x v="1"/>
    <x v="2"/>
    <x v="38"/>
    <x v="8"/>
    <x v="5"/>
    <n v="456572.4"/>
    <n v="1"/>
    <x v="2"/>
    <x v="0"/>
  </r>
  <r>
    <x v="7"/>
    <s v="Amarilis"/>
    <n v="154"/>
    <x v="0"/>
    <x v="0"/>
    <x v="39"/>
    <x v="34"/>
    <x v="1"/>
    <n v="760000"/>
    <n v="1"/>
    <x v="2"/>
    <x v="0"/>
  </r>
  <r>
    <x v="7"/>
    <s v="Magnolia"/>
    <n v="181"/>
    <x v="0"/>
    <x v="0"/>
    <x v="39"/>
    <x v="65"/>
    <x v="2"/>
    <n v="850000"/>
    <n v="1"/>
    <x v="2"/>
    <x v="0"/>
  </r>
  <r>
    <x v="0"/>
    <s v="Cambuí"/>
    <n v="26"/>
    <x v="0"/>
    <x v="0"/>
    <x v="40"/>
    <x v="0"/>
    <x v="0"/>
    <n v="210000"/>
    <n v="1"/>
    <x v="2"/>
    <x v="0"/>
  </r>
  <r>
    <x v="8"/>
    <s v="Duquesa"/>
    <n v="22"/>
    <x v="2"/>
    <x v="1"/>
    <x v="40"/>
    <x v="16"/>
    <x v="6"/>
    <n v="830000"/>
    <n v="1"/>
    <x v="2"/>
    <x v="0"/>
  </r>
  <r>
    <x v="7"/>
    <s v="Magnolia"/>
    <n v="184"/>
    <x v="0"/>
    <x v="0"/>
    <x v="41"/>
    <x v="20"/>
    <x v="7"/>
    <n v="876000"/>
    <n v="1"/>
    <x v="2"/>
    <x v="0"/>
  </r>
  <r>
    <x v="0"/>
    <s v="Cambuí"/>
    <n v="92"/>
    <x v="0"/>
    <x v="0"/>
    <x v="42"/>
    <x v="0"/>
    <x v="0"/>
    <n v="240000"/>
    <n v="1"/>
    <x v="2"/>
    <x v="0"/>
  </r>
  <r>
    <x v="3"/>
    <s v="Class Varanda Mariana"/>
    <n v="65"/>
    <x v="0"/>
    <x v="0"/>
    <x v="42"/>
    <x v="66"/>
    <x v="4"/>
    <n v="505000"/>
    <n v="1"/>
    <x v="2"/>
    <x v="0"/>
  </r>
  <r>
    <x v="9"/>
    <s v="Host Paraíso"/>
    <n v="214"/>
    <x v="2"/>
    <x v="1"/>
    <x v="43"/>
    <x v="16"/>
    <x v="6"/>
    <n v="404249.95"/>
    <n v="1"/>
    <x v="2"/>
    <x v="0"/>
  </r>
  <r>
    <x v="4"/>
    <s v="Tons da Villa"/>
    <n v="54"/>
    <x v="0"/>
    <x v="0"/>
    <x v="44"/>
    <x v="28"/>
    <x v="2"/>
    <n v="373011.03"/>
    <n v="1"/>
    <x v="2"/>
    <x v="0"/>
  </r>
  <r>
    <x v="3"/>
    <s v="Vaga Extra"/>
    <s v="00138G"/>
    <x v="0"/>
    <x v="0"/>
    <x v="45"/>
    <x v="22"/>
    <x v="8"/>
    <n v="34912.03"/>
    <n v="1"/>
    <x v="2"/>
    <x v="0"/>
  </r>
  <r>
    <x v="7"/>
    <s v="Amarilis"/>
    <n v="43"/>
    <x v="0"/>
    <x v="0"/>
    <x v="45"/>
    <x v="34"/>
    <x v="1"/>
    <n v="750000"/>
    <n v="1"/>
    <x v="2"/>
    <x v="0"/>
  </r>
  <r>
    <x v="4"/>
    <s v="Tons da Villa"/>
    <n v="124"/>
    <x v="0"/>
    <x v="0"/>
    <x v="45"/>
    <x v="28"/>
    <x v="2"/>
    <n v="379735"/>
    <n v="1"/>
    <x v="2"/>
    <x v="0"/>
  </r>
  <r>
    <x v="0"/>
    <s v="Flamboyant"/>
    <n v="55"/>
    <x v="0"/>
    <x v="0"/>
    <x v="46"/>
    <x v="24"/>
    <x v="0"/>
    <n v="120002.73"/>
    <n v="0.5"/>
    <x v="2"/>
    <x v="0"/>
  </r>
  <r>
    <x v="0"/>
    <s v="Flamboyant"/>
    <n v="55"/>
    <x v="0"/>
    <x v="0"/>
    <x v="46"/>
    <x v="25"/>
    <x v="0"/>
    <n v="120002.73"/>
    <n v="0.5"/>
    <x v="2"/>
    <x v="0"/>
  </r>
  <r>
    <x v="3"/>
    <s v="Class Varanda Mariana"/>
    <n v="53"/>
    <x v="0"/>
    <x v="0"/>
    <x v="46"/>
    <x v="32"/>
    <x v="0"/>
    <n v="699033"/>
    <n v="1"/>
    <x v="2"/>
    <x v="0"/>
  </r>
  <r>
    <x v="1"/>
    <s v="Felicidade"/>
    <n v="138"/>
    <x v="0"/>
    <x v="0"/>
    <x v="47"/>
    <x v="5"/>
    <x v="1"/>
    <n v="122538.28"/>
    <n v="0.5"/>
    <x v="2"/>
    <x v="0"/>
  </r>
  <r>
    <x v="1"/>
    <s v="Felicidade"/>
    <n v="138"/>
    <x v="0"/>
    <x v="0"/>
    <x v="47"/>
    <x v="67"/>
    <x v="0"/>
    <n v="122538.28"/>
    <n v="0.5"/>
    <x v="2"/>
    <x v="0"/>
  </r>
  <r>
    <x v="3"/>
    <s v="Class Varanda Mariana"/>
    <n v="26"/>
    <x v="0"/>
    <x v="0"/>
    <x v="47"/>
    <x v="59"/>
    <x v="0"/>
    <n v="580000"/>
    <n v="1"/>
    <x v="2"/>
    <x v="0"/>
  </r>
  <r>
    <x v="3"/>
    <s v="Class Varanda Mariana"/>
    <n v="173"/>
    <x v="0"/>
    <x v="0"/>
    <x v="47"/>
    <x v="68"/>
    <x v="9"/>
    <n v="899700"/>
    <n v="1"/>
    <x v="2"/>
    <x v="0"/>
  </r>
  <r>
    <x v="3"/>
    <s v="Class Varanda Mariana"/>
    <n v="21"/>
    <x v="0"/>
    <x v="0"/>
    <x v="48"/>
    <x v="59"/>
    <x v="0"/>
    <n v="420000"/>
    <n v="1"/>
    <x v="2"/>
    <x v="0"/>
  </r>
  <r>
    <x v="4"/>
    <s v="Tons da Villa"/>
    <n v="166"/>
    <x v="0"/>
    <x v="0"/>
    <x v="49"/>
    <x v="28"/>
    <x v="2"/>
    <n v="379000"/>
    <n v="1"/>
    <x v="2"/>
    <x v="0"/>
  </r>
  <r>
    <x v="15"/>
    <s v="Estilo Jardins"/>
    <n v="808"/>
    <x v="1"/>
    <x v="0"/>
    <x v="50"/>
    <x v="10"/>
    <x v="5"/>
    <n v="750000"/>
    <n v="1"/>
    <x v="2"/>
    <x v="0"/>
  </r>
  <r>
    <x v="7"/>
    <s v="Amarilis"/>
    <n v="141"/>
    <x v="0"/>
    <x v="0"/>
    <x v="50"/>
    <x v="20"/>
    <x v="8"/>
    <n v="800000"/>
    <n v="1"/>
    <x v="2"/>
    <x v="0"/>
  </r>
  <r>
    <x v="1"/>
    <s v="Amizade"/>
    <n v="17"/>
    <x v="0"/>
    <x v="0"/>
    <x v="51"/>
    <x v="14"/>
    <x v="0"/>
    <n v="273871.5"/>
    <n v="1"/>
    <x v="3"/>
    <x v="0"/>
  </r>
  <r>
    <x v="11"/>
    <s v="Decor Paraíso"/>
    <n v="118"/>
    <x v="1"/>
    <x v="0"/>
    <x v="51"/>
    <x v="10"/>
    <x v="5"/>
    <n v="434500"/>
    <n v="1"/>
    <x v="3"/>
    <x v="0"/>
  </r>
  <r>
    <x v="7"/>
    <s v="Magnolia"/>
    <n v="192"/>
    <x v="0"/>
    <x v="0"/>
    <x v="52"/>
    <x v="65"/>
    <x v="2"/>
    <n v="862309.56"/>
    <n v="1"/>
    <x v="3"/>
    <x v="0"/>
  </r>
  <r>
    <x v="3"/>
    <s v="Class Varanda Mariana"/>
    <n v="11"/>
    <x v="0"/>
    <x v="0"/>
    <x v="53"/>
    <x v="1"/>
    <x v="1"/>
    <n v="500000"/>
    <n v="1"/>
    <x v="3"/>
    <x v="0"/>
  </r>
  <r>
    <x v="9"/>
    <s v="Host Paraíso"/>
    <n v="1205"/>
    <x v="2"/>
    <x v="1"/>
    <x v="54"/>
    <x v="69"/>
    <x v="6"/>
    <n v="597612.12"/>
    <n v="1"/>
    <x v="3"/>
    <x v="0"/>
  </r>
  <r>
    <x v="0"/>
    <s v="Cambuí"/>
    <n v="45"/>
    <x v="0"/>
    <x v="0"/>
    <x v="55"/>
    <x v="51"/>
    <x v="2"/>
    <n v="235000"/>
    <n v="1"/>
    <x v="3"/>
    <x v="0"/>
  </r>
  <r>
    <x v="8"/>
    <s v="Duquesa"/>
    <n v="84"/>
    <x v="2"/>
    <x v="1"/>
    <x v="55"/>
    <x v="16"/>
    <x v="6"/>
    <n v="976571.3"/>
    <n v="1"/>
    <x v="3"/>
    <x v="0"/>
  </r>
  <r>
    <x v="7"/>
    <s v="Magnolia"/>
    <n v="202"/>
    <x v="1"/>
    <x v="0"/>
    <x v="55"/>
    <x v="10"/>
    <x v="5"/>
    <n v="870000"/>
    <n v="1"/>
    <x v="3"/>
    <x v="0"/>
  </r>
  <r>
    <x v="0"/>
    <s v="Acácia"/>
    <n v="6"/>
    <x v="0"/>
    <x v="0"/>
    <x v="56"/>
    <x v="6"/>
    <x v="2"/>
    <n v="119900"/>
    <n v="0.5"/>
    <x v="3"/>
    <x v="0"/>
  </r>
  <r>
    <x v="0"/>
    <s v="Acácia"/>
    <n v="6"/>
    <x v="0"/>
    <x v="0"/>
    <x v="56"/>
    <x v="70"/>
    <x v="2"/>
    <n v="119900"/>
    <n v="0.5"/>
    <x v="3"/>
    <x v="0"/>
  </r>
  <r>
    <x v="11"/>
    <s v="Decor Paraíso"/>
    <n v="116"/>
    <x v="0"/>
    <x v="0"/>
    <x v="56"/>
    <x v="71"/>
    <x v="8"/>
    <n v="510040.77"/>
    <n v="1"/>
    <x v="3"/>
    <x v="0"/>
  </r>
  <r>
    <x v="12"/>
    <s v="Gallery Offices"/>
    <n v="1011"/>
    <x v="0"/>
    <x v="0"/>
    <x v="56"/>
    <x v="39"/>
    <x v="9"/>
    <n v="407409"/>
    <n v="1"/>
    <x v="3"/>
    <x v="0"/>
  </r>
  <r>
    <x v="15"/>
    <s v="Estilo Jardins"/>
    <n v="106"/>
    <x v="2"/>
    <x v="1"/>
    <x v="57"/>
    <x v="16"/>
    <x v="6"/>
    <n v="576632.23"/>
    <n v="1"/>
    <x v="3"/>
    <x v="0"/>
  </r>
  <r>
    <x v="3"/>
    <s v="Class Varanda Mariana"/>
    <n v="52"/>
    <x v="0"/>
    <x v="0"/>
    <x v="58"/>
    <x v="60"/>
    <x v="4"/>
    <n v="613400"/>
    <n v="1"/>
    <x v="3"/>
    <x v="0"/>
  </r>
  <r>
    <x v="9"/>
    <s v="Host Paraíso"/>
    <n v="903"/>
    <x v="2"/>
    <x v="1"/>
    <x v="58"/>
    <x v="16"/>
    <x v="6"/>
    <n v="428346.22"/>
    <n v="1"/>
    <x v="3"/>
    <x v="0"/>
  </r>
  <r>
    <x v="1"/>
    <s v="Felicidade"/>
    <n v="154"/>
    <x v="0"/>
    <x v="0"/>
    <x v="59"/>
    <x v="21"/>
    <x v="2"/>
    <n v="255100"/>
    <n v="1"/>
    <x v="3"/>
    <x v="0"/>
  </r>
  <r>
    <x v="0"/>
    <s v="Acácia"/>
    <n v="125"/>
    <x v="0"/>
    <x v="0"/>
    <x v="60"/>
    <x v="0"/>
    <x v="0"/>
    <n v="220000"/>
    <n v="1"/>
    <x v="3"/>
    <x v="0"/>
  </r>
  <r>
    <x v="3"/>
    <s v="Class Varanda Mariana"/>
    <n v="62"/>
    <x v="0"/>
    <x v="0"/>
    <x v="60"/>
    <x v="1"/>
    <x v="1"/>
    <n v="638550"/>
    <n v="1"/>
    <x v="3"/>
    <x v="0"/>
  </r>
  <r>
    <x v="3"/>
    <s v="Class Varanda Mariana"/>
    <n v="63"/>
    <x v="0"/>
    <x v="0"/>
    <x v="60"/>
    <x v="1"/>
    <x v="1"/>
    <n v="666760"/>
    <n v="1"/>
    <x v="3"/>
    <x v="0"/>
  </r>
  <r>
    <x v="3"/>
    <s v="Class Varanda Mariana"/>
    <n v="77"/>
    <x v="0"/>
    <x v="0"/>
    <x v="60"/>
    <x v="72"/>
    <x v="9"/>
    <n v="577155"/>
    <n v="1"/>
    <x v="3"/>
    <x v="0"/>
  </r>
  <r>
    <x v="10"/>
    <s v="Piazza Suprema"/>
    <n v="22"/>
    <x v="1"/>
    <x v="0"/>
    <x v="61"/>
    <x v="8"/>
    <x v="5"/>
    <n v="2000000"/>
    <n v="1"/>
    <x v="3"/>
    <x v="0"/>
  </r>
  <r>
    <x v="12"/>
    <s v="Gallery Offices"/>
    <n v="405"/>
    <x v="0"/>
    <x v="0"/>
    <x v="62"/>
    <x v="30"/>
    <x v="9"/>
    <n v="399802.79"/>
    <n v="1"/>
    <x v="3"/>
    <x v="0"/>
  </r>
  <r>
    <x v="9"/>
    <s v="Host Paraíso"/>
    <n v="1604"/>
    <x v="2"/>
    <x v="1"/>
    <x v="62"/>
    <x v="16"/>
    <x v="6"/>
    <n v="547116.39"/>
    <n v="1"/>
    <x v="3"/>
    <x v="0"/>
  </r>
  <r>
    <x v="10"/>
    <s v="Piazza Suprema"/>
    <n v="111"/>
    <x v="1"/>
    <x v="0"/>
    <x v="62"/>
    <x v="8"/>
    <x v="5"/>
    <n v="1080000"/>
    <n v="0.5"/>
    <x v="3"/>
    <x v="0"/>
  </r>
  <r>
    <x v="10"/>
    <s v="Piazza Suprema"/>
    <n v="111"/>
    <x v="0"/>
    <x v="0"/>
    <x v="62"/>
    <x v="73"/>
    <x v="9"/>
    <n v="1080000"/>
    <n v="0.5"/>
    <x v="3"/>
    <x v="0"/>
  </r>
  <r>
    <x v="1"/>
    <s v="Felicidade"/>
    <n v="198"/>
    <x v="0"/>
    <x v="0"/>
    <x v="63"/>
    <x v="74"/>
    <x v="3"/>
    <n v="254200"/>
    <n v="1"/>
    <x v="3"/>
    <x v="0"/>
  </r>
  <r>
    <x v="14"/>
    <s v="Ares do Parque Aclimação"/>
    <n v="171"/>
    <x v="0"/>
    <x v="0"/>
    <x v="64"/>
    <x v="5"/>
    <x v="1"/>
    <n v="2055000"/>
    <n v="1"/>
    <x v="3"/>
    <x v="0"/>
  </r>
  <r>
    <x v="7"/>
    <s v="Magnolia"/>
    <n v="201"/>
    <x v="0"/>
    <x v="0"/>
    <x v="65"/>
    <x v="20"/>
    <x v="8"/>
    <n v="880000"/>
    <n v="1"/>
    <x v="3"/>
    <x v="0"/>
  </r>
  <r>
    <x v="3"/>
    <s v="Class Varanda Mariana"/>
    <n v="66"/>
    <x v="0"/>
    <x v="0"/>
    <x v="66"/>
    <x v="19"/>
    <x v="3"/>
    <n v="656450"/>
    <n v="1"/>
    <x v="3"/>
    <x v="0"/>
  </r>
  <r>
    <x v="0"/>
    <s v="Flamboyant"/>
    <n v="144"/>
    <x v="0"/>
    <x v="0"/>
    <x v="67"/>
    <x v="75"/>
    <x v="4"/>
    <n v="200000"/>
    <n v="1"/>
    <x v="3"/>
    <x v="0"/>
  </r>
  <r>
    <x v="3"/>
    <s v="Class Varanda Mariana"/>
    <n v="55"/>
    <x v="0"/>
    <x v="0"/>
    <x v="68"/>
    <x v="19"/>
    <x v="3"/>
    <n v="507306.6"/>
    <n v="1"/>
    <x v="3"/>
    <x v="0"/>
  </r>
  <r>
    <x v="0"/>
    <s v="Buriti"/>
    <n v="55"/>
    <x v="0"/>
    <x v="0"/>
    <x v="69"/>
    <x v="0"/>
    <x v="0"/>
    <n v="235174.15"/>
    <n v="1"/>
    <x v="3"/>
    <x v="0"/>
  </r>
  <r>
    <x v="1"/>
    <s v="Felicidade"/>
    <n v="182"/>
    <x v="0"/>
    <x v="0"/>
    <x v="69"/>
    <x v="76"/>
    <x v="8"/>
    <n v="264800"/>
    <n v="1"/>
    <x v="3"/>
    <x v="0"/>
  </r>
  <r>
    <x v="6"/>
    <s v="Caminho dos Passaros"/>
    <n v="171"/>
    <x v="1"/>
    <x v="0"/>
    <x v="69"/>
    <x v="8"/>
    <x v="5"/>
    <n v="400000"/>
    <n v="1"/>
    <x v="3"/>
    <x v="0"/>
  </r>
  <r>
    <x v="3"/>
    <s v="Class Varanda Mariana"/>
    <n v="44"/>
    <x v="0"/>
    <x v="0"/>
    <x v="69"/>
    <x v="77"/>
    <x v="4"/>
    <n v="490000"/>
    <n v="1"/>
    <x v="3"/>
    <x v="0"/>
  </r>
  <r>
    <x v="3"/>
    <s v="Vaga Extra"/>
    <s v="00201M"/>
    <x v="0"/>
    <x v="0"/>
    <x v="69"/>
    <x v="77"/>
    <x v="4"/>
    <n v="29437.9"/>
    <n v="1"/>
    <x v="3"/>
    <x v="0"/>
  </r>
  <r>
    <x v="10"/>
    <s v="Piazza Suprema"/>
    <n v="71"/>
    <x v="1"/>
    <x v="0"/>
    <x v="69"/>
    <x v="8"/>
    <x v="5"/>
    <n v="2100000"/>
    <n v="1"/>
    <x v="3"/>
    <x v="0"/>
  </r>
  <r>
    <x v="2"/>
    <s v="Andiroba"/>
    <n v="57"/>
    <x v="0"/>
    <x v="0"/>
    <x v="70"/>
    <x v="6"/>
    <x v="2"/>
    <n v="180000"/>
    <n v="1"/>
    <x v="4"/>
    <x v="0"/>
  </r>
  <r>
    <x v="12"/>
    <s v="Gallery Offices"/>
    <n v="1108"/>
    <x v="0"/>
    <x v="0"/>
    <x v="70"/>
    <x v="78"/>
    <x v="0"/>
    <n v="400000"/>
    <n v="1"/>
    <x v="4"/>
    <x v="0"/>
  </r>
  <r>
    <x v="12"/>
    <s v="Gallery Offices"/>
    <n v="1109"/>
    <x v="0"/>
    <x v="0"/>
    <x v="70"/>
    <x v="78"/>
    <x v="0"/>
    <n v="400000"/>
    <n v="1"/>
    <x v="4"/>
    <x v="0"/>
  </r>
  <r>
    <x v="9"/>
    <s v="Host Paraíso"/>
    <n v="1006"/>
    <x v="2"/>
    <x v="1"/>
    <x v="70"/>
    <x v="69"/>
    <x v="6"/>
    <n v="605243.55000000005"/>
    <n v="1"/>
    <x v="4"/>
    <x v="0"/>
  </r>
  <r>
    <x v="7"/>
    <s v="Magnolia"/>
    <n v="211"/>
    <x v="0"/>
    <x v="0"/>
    <x v="70"/>
    <x v="20"/>
    <x v="8"/>
    <n v="850000"/>
    <n v="1"/>
    <x v="4"/>
    <x v="0"/>
  </r>
  <r>
    <x v="2"/>
    <s v="Figueira"/>
    <n v="43"/>
    <x v="0"/>
    <x v="0"/>
    <x v="71"/>
    <x v="2"/>
    <x v="2"/>
    <n v="180000"/>
    <n v="1"/>
    <x v="4"/>
    <x v="0"/>
  </r>
  <r>
    <x v="13"/>
    <s v="New Station"/>
    <n v="703"/>
    <x v="2"/>
    <x v="1"/>
    <x v="72"/>
    <x v="16"/>
    <x v="6"/>
    <n v="487543.16"/>
    <n v="1"/>
    <x v="4"/>
    <x v="0"/>
  </r>
  <r>
    <x v="8"/>
    <s v="Duquesa"/>
    <n v="94"/>
    <x v="1"/>
    <x v="0"/>
    <x v="73"/>
    <x v="10"/>
    <x v="5"/>
    <n v="920001.09"/>
    <n v="1"/>
    <x v="4"/>
    <x v="0"/>
  </r>
  <r>
    <x v="10"/>
    <s v="Piazza Suprema"/>
    <n v="41"/>
    <x v="0"/>
    <x v="0"/>
    <x v="74"/>
    <x v="78"/>
    <x v="0"/>
    <n v="2085000"/>
    <n v="1"/>
    <x v="4"/>
    <x v="0"/>
  </r>
  <r>
    <x v="3"/>
    <s v="Class Varanda Mariana"/>
    <n v="108"/>
    <x v="0"/>
    <x v="0"/>
    <x v="75"/>
    <x v="21"/>
    <x v="2"/>
    <n v="564306.81000000006"/>
    <n v="1"/>
    <x v="4"/>
    <x v="0"/>
  </r>
  <r>
    <x v="3"/>
    <s v="Vaga Extra"/>
    <s v="00226G "/>
    <x v="0"/>
    <x v="0"/>
    <x v="75"/>
    <x v="21"/>
    <x v="2"/>
    <n v="35067.599999999999"/>
    <n v="1"/>
    <x v="4"/>
    <x v="0"/>
  </r>
  <r>
    <x v="12"/>
    <s v="Gallery Offices"/>
    <n v="412"/>
    <x v="0"/>
    <x v="0"/>
    <x v="75"/>
    <x v="70"/>
    <x v="2"/>
    <n v="367400"/>
    <n v="1"/>
    <x v="4"/>
    <x v="0"/>
  </r>
  <r>
    <x v="12"/>
    <s v="Gallery Offices"/>
    <n v="708"/>
    <x v="0"/>
    <x v="0"/>
    <x v="75"/>
    <x v="59"/>
    <x v="0"/>
    <n v="417381.38"/>
    <n v="1"/>
    <x v="4"/>
    <x v="0"/>
  </r>
  <r>
    <x v="12"/>
    <s v="Gallery Offices"/>
    <n v="709"/>
    <x v="0"/>
    <x v="0"/>
    <x v="75"/>
    <x v="59"/>
    <x v="0"/>
    <n v="417381.38"/>
    <n v="1"/>
    <x v="4"/>
    <x v="0"/>
  </r>
  <r>
    <x v="7"/>
    <s v="Magnolia"/>
    <n v="191"/>
    <x v="0"/>
    <x v="0"/>
    <x v="75"/>
    <x v="12"/>
    <x v="4"/>
    <n v="880000"/>
    <n v="1"/>
    <x v="4"/>
    <x v="0"/>
  </r>
  <r>
    <x v="16"/>
    <s v="Cosmopolitan High Garden"/>
    <n v="506"/>
    <x v="0"/>
    <x v="2"/>
    <x v="76"/>
    <x v="47"/>
    <x v="2"/>
    <n v="361938"/>
    <n v="1"/>
    <x v="4"/>
    <x v="0"/>
  </r>
  <r>
    <x v="16"/>
    <s v="Cosmopolitan High Garden"/>
    <n v="2513"/>
    <x v="1"/>
    <x v="2"/>
    <x v="76"/>
    <x v="8"/>
    <x v="5"/>
    <n v="491214.29"/>
    <n v="1"/>
    <x v="4"/>
    <x v="0"/>
  </r>
  <r>
    <x v="16"/>
    <s v="Cosmopolitan High Garden"/>
    <n v="2612"/>
    <x v="1"/>
    <x v="2"/>
    <x v="76"/>
    <x v="8"/>
    <x v="5"/>
    <n v="684512"/>
    <n v="1"/>
    <x v="4"/>
    <x v="0"/>
  </r>
  <r>
    <x v="5"/>
    <s v="Verte"/>
    <n v="61"/>
    <x v="0"/>
    <x v="0"/>
    <x v="77"/>
    <x v="2"/>
    <x v="2"/>
    <n v="222000.02"/>
    <n v="1"/>
    <x v="4"/>
    <x v="0"/>
  </r>
  <r>
    <x v="16"/>
    <s v="Cosmopolitan High Garden"/>
    <n v="514"/>
    <x v="0"/>
    <x v="2"/>
    <x v="78"/>
    <x v="42"/>
    <x v="3"/>
    <n v="362229.56"/>
    <n v="1"/>
    <x v="4"/>
    <x v="0"/>
  </r>
  <r>
    <x v="16"/>
    <s v="Cosmopolitan High Garden"/>
    <n v="1005"/>
    <x v="0"/>
    <x v="2"/>
    <x v="78"/>
    <x v="55"/>
    <x v="4"/>
    <n v="635950"/>
    <n v="1"/>
    <x v="4"/>
    <x v="0"/>
  </r>
  <r>
    <x v="3"/>
    <s v="Class Varanda Mariana"/>
    <n v="82"/>
    <x v="0"/>
    <x v="0"/>
    <x v="79"/>
    <x v="30"/>
    <x v="9"/>
    <n v="519000"/>
    <n v="1"/>
    <x v="4"/>
    <x v="0"/>
  </r>
  <r>
    <x v="16"/>
    <s v="Cosmopolitan High Garden"/>
    <n v="502"/>
    <x v="0"/>
    <x v="2"/>
    <x v="79"/>
    <x v="63"/>
    <x v="1"/>
    <n v="176451.06"/>
    <n v="0.5"/>
    <x v="4"/>
    <x v="0"/>
  </r>
  <r>
    <x v="16"/>
    <s v="Cosmopolitan High Garden"/>
    <n v="502"/>
    <x v="0"/>
    <x v="2"/>
    <x v="79"/>
    <x v="70"/>
    <x v="2"/>
    <n v="176451.06"/>
    <n v="0.5"/>
    <x v="4"/>
    <x v="0"/>
  </r>
  <r>
    <x v="16"/>
    <s v="Cosmopolitan High Garden"/>
    <n v="706"/>
    <x v="0"/>
    <x v="2"/>
    <x v="79"/>
    <x v="63"/>
    <x v="1"/>
    <n v="303812"/>
    <n v="1"/>
    <x v="4"/>
    <x v="0"/>
  </r>
  <r>
    <x v="16"/>
    <s v="Cosmopolitan High Garden"/>
    <n v="715"/>
    <x v="0"/>
    <x v="2"/>
    <x v="79"/>
    <x v="70"/>
    <x v="2"/>
    <n v="303812"/>
    <n v="1"/>
    <x v="4"/>
    <x v="0"/>
  </r>
  <r>
    <x v="16"/>
    <s v="Cosmopolitan High Garden"/>
    <n v="1401"/>
    <x v="0"/>
    <x v="2"/>
    <x v="79"/>
    <x v="66"/>
    <x v="4"/>
    <n v="370115.96"/>
    <n v="1"/>
    <x v="4"/>
    <x v="0"/>
  </r>
  <r>
    <x v="16"/>
    <s v="Cosmopolitan High Garden"/>
    <n v="1403"/>
    <x v="0"/>
    <x v="2"/>
    <x v="79"/>
    <x v="79"/>
    <x v="8"/>
    <n v="327888.90000000002"/>
    <n v="1"/>
    <x v="4"/>
    <x v="0"/>
  </r>
  <r>
    <x v="16"/>
    <s v="Cosmopolitan High Garden"/>
    <n v="1411"/>
    <x v="0"/>
    <x v="2"/>
    <x v="79"/>
    <x v="80"/>
    <x v="8"/>
    <n v="370940"/>
    <n v="1"/>
    <x v="4"/>
    <x v="0"/>
  </r>
  <r>
    <x v="16"/>
    <s v="Cosmopolitan High Garden"/>
    <n v="1802"/>
    <x v="0"/>
    <x v="2"/>
    <x v="79"/>
    <x v="79"/>
    <x v="8"/>
    <n v="332925"/>
    <n v="1"/>
    <x v="4"/>
    <x v="0"/>
  </r>
  <r>
    <x v="16"/>
    <s v="Cosmopolitan High Garden"/>
    <n v="1813"/>
    <x v="0"/>
    <x v="2"/>
    <x v="79"/>
    <x v="71"/>
    <x v="8"/>
    <n v="502035.15"/>
    <n v="1"/>
    <x v="4"/>
    <x v="0"/>
  </r>
  <r>
    <x v="16"/>
    <s v="Cosmopolitan High Garden"/>
    <n v="2114"/>
    <x v="0"/>
    <x v="2"/>
    <x v="79"/>
    <x v="12"/>
    <x v="4"/>
    <n v="395865.44"/>
    <n v="1"/>
    <x v="4"/>
    <x v="0"/>
  </r>
  <r>
    <x v="16"/>
    <s v="Cosmopolitan High Garden"/>
    <n v="2202"/>
    <x v="0"/>
    <x v="2"/>
    <x v="79"/>
    <x v="79"/>
    <x v="8"/>
    <n v="373330.46"/>
    <n v="1"/>
    <x v="4"/>
    <x v="0"/>
  </r>
  <r>
    <x v="16"/>
    <s v="Cosmopolitan High Garden"/>
    <n v="2403"/>
    <x v="1"/>
    <x v="2"/>
    <x v="79"/>
    <x v="8"/>
    <x v="5"/>
    <n v="384798.85"/>
    <n v="1"/>
    <x v="4"/>
    <x v="0"/>
  </r>
  <r>
    <x v="16"/>
    <s v="Cosmopolitan High Garden"/>
    <n v="308"/>
    <x v="1"/>
    <x v="2"/>
    <x v="80"/>
    <x v="10"/>
    <x v="5"/>
    <n v="454817.98"/>
    <n v="1"/>
    <x v="4"/>
    <x v="0"/>
  </r>
  <r>
    <x v="16"/>
    <s v="Cosmopolitan High Garden"/>
    <n v="1516"/>
    <x v="0"/>
    <x v="2"/>
    <x v="80"/>
    <x v="81"/>
    <x v="3"/>
    <n v="313206.90000000002"/>
    <n v="1"/>
    <x v="4"/>
    <x v="0"/>
  </r>
  <r>
    <x v="16"/>
    <s v="Cosmopolitan High Garden"/>
    <n v="2001"/>
    <x v="0"/>
    <x v="2"/>
    <x v="80"/>
    <x v="48"/>
    <x v="2"/>
    <n v="372300"/>
    <n v="1"/>
    <x v="4"/>
    <x v="0"/>
  </r>
  <r>
    <x v="16"/>
    <s v="Cosmopolitan High Garden"/>
    <n v="2201"/>
    <x v="0"/>
    <x v="2"/>
    <x v="80"/>
    <x v="81"/>
    <x v="3"/>
    <n v="384530.4"/>
    <n v="1"/>
    <x v="4"/>
    <x v="0"/>
  </r>
  <r>
    <x v="16"/>
    <s v="Cosmopolitan High Garden"/>
    <n v="2316"/>
    <x v="0"/>
    <x v="2"/>
    <x v="80"/>
    <x v="15"/>
    <x v="3"/>
    <n v="194306.47"/>
    <n v="0.5"/>
    <x v="4"/>
    <x v="0"/>
  </r>
  <r>
    <x v="16"/>
    <s v="Cosmopolitan High Garden"/>
    <n v="2316"/>
    <x v="0"/>
    <x v="2"/>
    <x v="80"/>
    <x v="81"/>
    <x v="3"/>
    <n v="194306.47"/>
    <n v="0.5"/>
    <x v="4"/>
    <x v="0"/>
  </r>
  <r>
    <x v="16"/>
    <s v="Cosmopolitan High Garden"/>
    <n v="2508"/>
    <x v="0"/>
    <x v="2"/>
    <x v="80"/>
    <x v="38"/>
    <x v="2"/>
    <n v="437300"/>
    <n v="1"/>
    <x v="4"/>
    <x v="0"/>
  </r>
  <r>
    <x v="16"/>
    <s v="Cosmopolitan High Garden"/>
    <n v="513"/>
    <x v="1"/>
    <x v="2"/>
    <x v="81"/>
    <x v="8"/>
    <x v="5"/>
    <n v="496606.83"/>
    <n v="1"/>
    <x v="4"/>
    <x v="0"/>
  </r>
  <r>
    <x v="10"/>
    <s v="Piazza Suprema"/>
    <n v="51"/>
    <x v="0"/>
    <x v="0"/>
    <x v="81"/>
    <x v="82"/>
    <x v="2"/>
    <n v="2150000"/>
    <n v="1"/>
    <x v="4"/>
    <x v="0"/>
  </r>
  <r>
    <x v="16"/>
    <s v="Cosmopolitan High Garden"/>
    <n v="1013"/>
    <x v="0"/>
    <x v="2"/>
    <x v="81"/>
    <x v="83"/>
    <x v="1"/>
    <n v="464318.64"/>
    <n v="1"/>
    <x v="4"/>
    <x v="0"/>
  </r>
  <r>
    <x v="16"/>
    <s v="Cosmopolitan High Garden"/>
    <n v="1102"/>
    <x v="0"/>
    <x v="2"/>
    <x v="81"/>
    <x v="84"/>
    <x v="2"/>
    <n v="313700.90999999997"/>
    <n v="1"/>
    <x v="4"/>
    <x v="0"/>
  </r>
  <r>
    <x v="16"/>
    <s v="Cosmopolitan High Garden"/>
    <n v="1104"/>
    <x v="1"/>
    <x v="2"/>
    <x v="81"/>
    <x v="8"/>
    <x v="5"/>
    <n v="491624.63"/>
    <n v="1"/>
    <x v="4"/>
    <x v="0"/>
  </r>
  <r>
    <x v="16"/>
    <s v="Cosmopolitan High Garden"/>
    <n v="1313"/>
    <x v="0"/>
    <x v="2"/>
    <x v="81"/>
    <x v="85"/>
    <x v="1"/>
    <n v="255610.19"/>
    <n v="0.5"/>
    <x v="4"/>
    <x v="0"/>
  </r>
  <r>
    <x v="16"/>
    <s v="Cosmopolitan High Garden"/>
    <n v="1313"/>
    <x v="0"/>
    <x v="2"/>
    <x v="81"/>
    <x v="50"/>
    <x v="9"/>
    <n v="255610.19"/>
    <n v="0.5"/>
    <x v="4"/>
    <x v="0"/>
  </r>
  <r>
    <x v="16"/>
    <s v="Cosmopolitan High Garden"/>
    <n v="1601"/>
    <x v="0"/>
    <x v="2"/>
    <x v="81"/>
    <x v="77"/>
    <x v="4"/>
    <n v="373330.3"/>
    <n v="1"/>
    <x v="4"/>
    <x v="0"/>
  </r>
  <r>
    <x v="16"/>
    <s v="Cosmopolitan High Garden"/>
    <n v="1609"/>
    <x v="0"/>
    <x v="2"/>
    <x v="81"/>
    <x v="19"/>
    <x v="3"/>
    <n v="476249.26"/>
    <n v="1"/>
    <x v="4"/>
    <x v="0"/>
  </r>
  <r>
    <x v="16"/>
    <s v="Cosmopolitan High Garden"/>
    <n v="1803"/>
    <x v="0"/>
    <x v="2"/>
    <x v="81"/>
    <x v="30"/>
    <x v="9"/>
    <n v="368228"/>
    <n v="1"/>
    <x v="4"/>
    <x v="0"/>
  </r>
  <r>
    <x v="16"/>
    <s v="Cosmopolitan High Garden"/>
    <n v="1810"/>
    <x v="0"/>
    <x v="2"/>
    <x v="81"/>
    <x v="86"/>
    <x v="3"/>
    <n v="195237.34"/>
    <n v="0.5"/>
    <x v="4"/>
    <x v="0"/>
  </r>
  <r>
    <x v="16"/>
    <s v="Cosmopolitan High Garden"/>
    <n v="1810"/>
    <x v="0"/>
    <x v="2"/>
    <x v="81"/>
    <x v="42"/>
    <x v="3"/>
    <n v="195237.34"/>
    <n v="0.5"/>
    <x v="4"/>
    <x v="0"/>
  </r>
  <r>
    <x v="16"/>
    <s v="Cosmopolitan High Garden"/>
    <n v="1915"/>
    <x v="1"/>
    <x v="2"/>
    <x v="81"/>
    <x v="10"/>
    <x v="5"/>
    <n v="384767.22"/>
    <n v="1"/>
    <x v="4"/>
    <x v="0"/>
  </r>
  <r>
    <x v="16"/>
    <s v="Cosmopolitan High Garden"/>
    <n v="2002"/>
    <x v="0"/>
    <x v="2"/>
    <x v="81"/>
    <x v="77"/>
    <x v="4"/>
    <n v="378930.54"/>
    <n v="1"/>
    <x v="4"/>
    <x v="0"/>
  </r>
  <r>
    <x v="16"/>
    <s v="Cosmopolitan High Garden"/>
    <n v="2211"/>
    <x v="0"/>
    <x v="2"/>
    <x v="81"/>
    <x v="5"/>
    <x v="1"/>
    <n v="395865.44"/>
    <n v="1"/>
    <x v="4"/>
    <x v="0"/>
  </r>
  <r>
    <x v="16"/>
    <s v="Cosmopolitan High Garden"/>
    <n v="2212"/>
    <x v="0"/>
    <x v="2"/>
    <x v="81"/>
    <x v="5"/>
    <x v="1"/>
    <n v="694927.24"/>
    <n v="1"/>
    <x v="4"/>
    <x v="0"/>
  </r>
  <r>
    <x v="16"/>
    <s v="Cosmopolitan High Garden"/>
    <n v="2310"/>
    <x v="0"/>
    <x v="2"/>
    <x v="81"/>
    <x v="42"/>
    <x v="3"/>
    <n v="197932.68"/>
    <n v="0.5"/>
    <x v="4"/>
    <x v="0"/>
  </r>
  <r>
    <x v="16"/>
    <s v="Cosmopolitan High Garden"/>
    <n v="2310"/>
    <x v="0"/>
    <x v="2"/>
    <x v="81"/>
    <x v="15"/>
    <x v="3"/>
    <n v="197932.68"/>
    <n v="0.5"/>
    <x v="4"/>
    <x v="0"/>
  </r>
  <r>
    <x v="16"/>
    <s v="Cosmopolitan High Garden"/>
    <n v="2311"/>
    <x v="0"/>
    <x v="2"/>
    <x v="81"/>
    <x v="42"/>
    <x v="3"/>
    <n v="197932.68"/>
    <n v="0.5"/>
    <x v="4"/>
    <x v="0"/>
  </r>
  <r>
    <x v="16"/>
    <s v="Cosmopolitan High Garden"/>
    <n v="2311"/>
    <x v="0"/>
    <x v="2"/>
    <x v="81"/>
    <x v="15"/>
    <x v="3"/>
    <n v="197932.68"/>
    <n v="0.5"/>
    <x v="4"/>
    <x v="0"/>
  </r>
  <r>
    <x v="16"/>
    <s v="Cosmopolitan High Garden"/>
    <n v="2411"/>
    <x v="0"/>
    <x v="2"/>
    <x v="81"/>
    <x v="5"/>
    <x v="1"/>
    <n v="395865.44"/>
    <n v="1"/>
    <x v="4"/>
    <x v="0"/>
  </r>
  <r>
    <x v="16"/>
    <s v="Cosmopolitan High Garden"/>
    <n v="2412"/>
    <x v="0"/>
    <x v="2"/>
    <x v="81"/>
    <x v="5"/>
    <x v="1"/>
    <n v="694927.24"/>
    <n v="1"/>
    <x v="4"/>
    <x v="0"/>
  </r>
  <r>
    <x v="16"/>
    <s v="Cosmopolitan High Garden"/>
    <n v="2514"/>
    <x v="0"/>
    <x v="2"/>
    <x v="81"/>
    <x v="85"/>
    <x v="1"/>
    <n v="401630.7"/>
    <n v="1"/>
    <x v="4"/>
    <x v="0"/>
  </r>
  <r>
    <x v="16"/>
    <s v="Cosmopolitan High Garden"/>
    <n v="1014"/>
    <x v="0"/>
    <x v="2"/>
    <x v="82"/>
    <x v="50"/>
    <x v="9"/>
    <n v="308508"/>
    <n v="1"/>
    <x v="4"/>
    <x v="0"/>
  </r>
  <r>
    <x v="16"/>
    <s v="Cosmopolitan High Garden"/>
    <n v="306"/>
    <x v="0"/>
    <x v="2"/>
    <x v="83"/>
    <x v="84"/>
    <x v="2"/>
    <n v="363152.84"/>
    <n v="1"/>
    <x v="4"/>
    <x v="0"/>
  </r>
  <r>
    <x v="16"/>
    <s v="Cosmopolitan High Garden"/>
    <n v="314"/>
    <x v="0"/>
    <x v="2"/>
    <x v="83"/>
    <x v="38"/>
    <x v="2"/>
    <n v="360999.37"/>
    <n v="1"/>
    <x v="4"/>
    <x v="0"/>
  </r>
  <r>
    <x v="16"/>
    <s v="Cosmopolitan High Garden"/>
    <n v="401"/>
    <x v="1"/>
    <x v="2"/>
    <x v="83"/>
    <x v="11"/>
    <x v="5"/>
    <n v="362130.59"/>
    <n v="1"/>
    <x v="4"/>
    <x v="0"/>
  </r>
  <r>
    <x v="16"/>
    <s v="Cosmopolitan High Garden"/>
    <n v="403"/>
    <x v="0"/>
    <x v="2"/>
    <x v="83"/>
    <x v="48"/>
    <x v="2"/>
    <n v="347912.46"/>
    <n v="1"/>
    <x v="4"/>
    <x v="0"/>
  </r>
  <r>
    <x v="16"/>
    <s v="Cosmopolitan High Garden"/>
    <n v="410"/>
    <x v="0"/>
    <x v="2"/>
    <x v="83"/>
    <x v="87"/>
    <x v="2"/>
    <n v="366350"/>
    <n v="1"/>
    <x v="4"/>
    <x v="0"/>
  </r>
  <r>
    <x v="16"/>
    <s v="Cosmopolitan High Garden"/>
    <n v="501"/>
    <x v="0"/>
    <x v="2"/>
    <x v="83"/>
    <x v="30"/>
    <x v="9"/>
    <n v="179710"/>
    <n v="0.5"/>
    <x v="4"/>
    <x v="0"/>
  </r>
  <r>
    <x v="16"/>
    <s v="Cosmopolitan High Garden"/>
    <n v="503"/>
    <x v="0"/>
    <x v="2"/>
    <x v="83"/>
    <x v="87"/>
    <x v="2"/>
    <n v="355200"/>
    <n v="1"/>
    <x v="4"/>
    <x v="0"/>
  </r>
  <r>
    <x v="16"/>
    <s v="Cosmopolitan High Garden"/>
    <n v="507"/>
    <x v="0"/>
    <x v="2"/>
    <x v="83"/>
    <x v="30"/>
    <x v="9"/>
    <n v="178950"/>
    <n v="0.5"/>
    <x v="4"/>
    <x v="0"/>
  </r>
  <r>
    <x v="16"/>
    <s v="Cosmopolitan High Garden"/>
    <n v="507"/>
    <x v="0"/>
    <x v="2"/>
    <x v="83"/>
    <x v="51"/>
    <x v="2"/>
    <n v="178950"/>
    <n v="0.5"/>
    <x v="4"/>
    <x v="0"/>
  </r>
  <r>
    <x v="16"/>
    <s v="Cosmopolitan High Garden"/>
    <n v="510"/>
    <x v="0"/>
    <x v="2"/>
    <x v="83"/>
    <x v="88"/>
    <x v="8"/>
    <n v="335423.21000000002"/>
    <n v="1"/>
    <x v="4"/>
    <x v="0"/>
  </r>
  <r>
    <x v="16"/>
    <s v="Cosmopolitan High Garden"/>
    <n v="511"/>
    <x v="0"/>
    <x v="2"/>
    <x v="83"/>
    <x v="43"/>
    <x v="4"/>
    <n v="175738.23999999999"/>
    <n v="0.5"/>
    <x v="4"/>
    <x v="0"/>
  </r>
  <r>
    <x v="16"/>
    <s v="Cosmopolitan High Garden"/>
    <n v="511"/>
    <x v="0"/>
    <x v="2"/>
    <x v="83"/>
    <x v="53"/>
    <x v="4"/>
    <n v="175738.23999999999"/>
    <n v="0.5"/>
    <x v="4"/>
    <x v="0"/>
  </r>
  <r>
    <x v="16"/>
    <s v="Cosmopolitan High Garden"/>
    <n v="810"/>
    <x v="0"/>
    <x v="2"/>
    <x v="83"/>
    <x v="89"/>
    <x v="8"/>
    <n v="329600"/>
    <n v="1"/>
    <x v="4"/>
    <x v="0"/>
  </r>
  <r>
    <x v="16"/>
    <s v="Cosmopolitan High Garden"/>
    <n v="811"/>
    <x v="0"/>
    <x v="2"/>
    <x v="83"/>
    <x v="89"/>
    <x v="8"/>
    <n v="329600"/>
    <n v="1"/>
    <x v="4"/>
    <x v="0"/>
  </r>
  <r>
    <x v="2"/>
    <s v="Aroeira"/>
    <n v="25"/>
    <x v="1"/>
    <x v="0"/>
    <x v="83"/>
    <x v="10"/>
    <x v="5"/>
    <n v="105000"/>
    <n v="0.5"/>
    <x v="4"/>
    <x v="0"/>
  </r>
  <r>
    <x v="2"/>
    <s v="Aroeira"/>
    <n v="25"/>
    <x v="1"/>
    <x v="0"/>
    <x v="83"/>
    <x v="8"/>
    <x v="5"/>
    <n v="105000"/>
    <n v="0.5"/>
    <x v="4"/>
    <x v="0"/>
  </r>
  <r>
    <x v="3"/>
    <s v="Class Varanda Mariana"/>
    <n v="22"/>
    <x v="0"/>
    <x v="0"/>
    <x v="83"/>
    <x v="21"/>
    <x v="2"/>
    <n v="623000"/>
    <n v="1"/>
    <x v="4"/>
    <x v="0"/>
  </r>
  <r>
    <x v="16"/>
    <s v="Cosmopolitan High Garden"/>
    <n v="902"/>
    <x v="0"/>
    <x v="2"/>
    <x v="83"/>
    <x v="38"/>
    <x v="2"/>
    <n v="346072"/>
    <n v="1"/>
    <x v="4"/>
    <x v="0"/>
  </r>
  <r>
    <x v="16"/>
    <s v="Cosmopolitan High Garden"/>
    <n v="903"/>
    <x v="0"/>
    <x v="2"/>
    <x v="83"/>
    <x v="90"/>
    <x v="4"/>
    <n v="368400"/>
    <n v="1"/>
    <x v="4"/>
    <x v="0"/>
  </r>
  <r>
    <x v="16"/>
    <s v="Cosmopolitan High Garden"/>
    <n v="904"/>
    <x v="0"/>
    <x v="2"/>
    <x v="83"/>
    <x v="24"/>
    <x v="0"/>
    <n v="230154.07"/>
    <n v="0.5"/>
    <x v="4"/>
    <x v="0"/>
  </r>
  <r>
    <x v="16"/>
    <s v="Cosmopolitan High Garden"/>
    <n v="904"/>
    <x v="0"/>
    <x v="2"/>
    <x v="83"/>
    <x v="25"/>
    <x v="0"/>
    <n v="230154.07"/>
    <n v="0.5"/>
    <x v="4"/>
    <x v="0"/>
  </r>
  <r>
    <x v="16"/>
    <s v="Cosmopolitan High Garden"/>
    <n v="1007"/>
    <x v="0"/>
    <x v="2"/>
    <x v="83"/>
    <x v="60"/>
    <x v="4"/>
    <n v="357871.3"/>
    <n v="1"/>
    <x v="4"/>
    <x v="0"/>
  </r>
  <r>
    <x v="16"/>
    <s v="Cosmopolitan High Garden"/>
    <n v="1009"/>
    <x v="0"/>
    <x v="2"/>
    <x v="83"/>
    <x v="91"/>
    <x v="8"/>
    <n v="469471.28"/>
    <n v="1"/>
    <x v="4"/>
    <x v="0"/>
  </r>
  <r>
    <x v="16"/>
    <s v="Cosmopolitan High Garden"/>
    <n v="1015"/>
    <x v="0"/>
    <x v="2"/>
    <x v="83"/>
    <x v="92"/>
    <x v="3"/>
    <n v="179138.76"/>
    <n v="0.5"/>
    <x v="4"/>
    <x v="0"/>
  </r>
  <r>
    <x v="16"/>
    <s v="Cosmopolitan High Garden"/>
    <n v="1015"/>
    <x v="0"/>
    <x v="2"/>
    <x v="83"/>
    <x v="25"/>
    <x v="0"/>
    <n v="179138.76"/>
    <n v="0.5"/>
    <x v="4"/>
    <x v="0"/>
  </r>
  <r>
    <x v="16"/>
    <s v="Cosmopolitan High Garden"/>
    <n v="1016"/>
    <x v="0"/>
    <x v="2"/>
    <x v="83"/>
    <x v="63"/>
    <x v="1"/>
    <n v="182188.42"/>
    <n v="0.5"/>
    <x v="4"/>
    <x v="0"/>
  </r>
  <r>
    <x v="16"/>
    <s v="Cosmopolitan High Garden"/>
    <n v="1016"/>
    <x v="0"/>
    <x v="2"/>
    <x v="83"/>
    <x v="70"/>
    <x v="2"/>
    <n v="182188.42"/>
    <n v="0.5"/>
    <x v="4"/>
    <x v="0"/>
  </r>
  <r>
    <x v="16"/>
    <s v="Cosmopolitan High Garden"/>
    <n v="1101"/>
    <x v="0"/>
    <x v="2"/>
    <x v="83"/>
    <x v="63"/>
    <x v="1"/>
    <n v="367730.43"/>
    <n v="1"/>
    <x v="4"/>
    <x v="0"/>
  </r>
  <r>
    <x v="16"/>
    <s v="Cosmopolitan High Garden"/>
    <n v="1103"/>
    <x v="0"/>
    <x v="2"/>
    <x v="83"/>
    <x v="70"/>
    <x v="2"/>
    <n v="367730.43"/>
    <n v="1"/>
    <x v="4"/>
    <x v="0"/>
  </r>
  <r>
    <x v="16"/>
    <s v="Cosmopolitan High Garden"/>
    <n v="1108"/>
    <x v="0"/>
    <x v="2"/>
    <x v="83"/>
    <x v="48"/>
    <x v="2"/>
    <n v="410000"/>
    <n v="1"/>
    <x v="4"/>
    <x v="0"/>
  </r>
  <r>
    <x v="16"/>
    <s v="Cosmopolitan High Garden"/>
    <n v="1110"/>
    <x v="0"/>
    <x v="2"/>
    <x v="83"/>
    <x v="93"/>
    <x v="2"/>
    <n v="177799.85"/>
    <n v="0.5"/>
    <x v="4"/>
    <x v="0"/>
  </r>
  <r>
    <x v="16"/>
    <s v="Cosmopolitan High Garden"/>
    <n v="1110"/>
    <x v="0"/>
    <x v="2"/>
    <x v="83"/>
    <x v="47"/>
    <x v="2"/>
    <n v="177799.85"/>
    <n v="0.5"/>
    <x v="4"/>
    <x v="0"/>
  </r>
  <r>
    <x v="16"/>
    <s v="Cosmopolitan High Garden"/>
    <n v="1111"/>
    <x v="0"/>
    <x v="2"/>
    <x v="83"/>
    <x v="92"/>
    <x v="3"/>
    <n v="189081"/>
    <n v="0.5"/>
    <x v="4"/>
    <x v="0"/>
  </r>
  <r>
    <x v="16"/>
    <s v="Cosmopolitan High Garden"/>
    <n v="1111"/>
    <x v="0"/>
    <x v="2"/>
    <x v="83"/>
    <x v="94"/>
    <x v="3"/>
    <n v="189081"/>
    <n v="0.5"/>
    <x v="4"/>
    <x v="0"/>
  </r>
  <r>
    <x v="16"/>
    <s v="Cosmopolitan High Garden"/>
    <n v="1115"/>
    <x v="0"/>
    <x v="2"/>
    <x v="83"/>
    <x v="83"/>
    <x v="1"/>
    <n v="357010.67"/>
    <n v="1"/>
    <x v="4"/>
    <x v="0"/>
  </r>
  <r>
    <x v="16"/>
    <s v="Cosmopolitan High Garden"/>
    <n v="1203"/>
    <x v="0"/>
    <x v="2"/>
    <x v="83"/>
    <x v="51"/>
    <x v="2"/>
    <n v="330652.24"/>
    <n v="1"/>
    <x v="4"/>
    <x v="0"/>
  </r>
  <r>
    <x v="16"/>
    <s v="Cosmopolitan High Garden"/>
    <n v="1305"/>
    <x v="0"/>
    <x v="2"/>
    <x v="83"/>
    <x v="45"/>
    <x v="0"/>
    <n v="659366"/>
    <n v="1"/>
    <x v="4"/>
    <x v="0"/>
  </r>
  <r>
    <x v="16"/>
    <s v="Cosmopolitan High Garden"/>
    <n v="1307"/>
    <x v="0"/>
    <x v="2"/>
    <x v="83"/>
    <x v="91"/>
    <x v="8"/>
    <n v="393944.04"/>
    <n v="1"/>
    <x v="4"/>
    <x v="0"/>
  </r>
  <r>
    <x v="16"/>
    <s v="Cosmopolitan High Garden"/>
    <n v="1314"/>
    <x v="0"/>
    <x v="2"/>
    <x v="83"/>
    <x v="92"/>
    <x v="3"/>
    <n v="181883.01"/>
    <n v="0.5"/>
    <x v="4"/>
    <x v="0"/>
  </r>
  <r>
    <x v="16"/>
    <s v="Cosmopolitan High Garden"/>
    <n v="1314"/>
    <x v="0"/>
    <x v="2"/>
    <x v="83"/>
    <x v="25"/>
    <x v="0"/>
    <n v="181883.01"/>
    <n v="0.5"/>
    <x v="4"/>
    <x v="0"/>
  </r>
  <r>
    <x v="16"/>
    <s v="Cosmopolitan High Garden"/>
    <n v="1402"/>
    <x v="0"/>
    <x v="2"/>
    <x v="83"/>
    <x v="29"/>
    <x v="4"/>
    <n v="382664.01"/>
    <n v="1"/>
    <x v="4"/>
    <x v="0"/>
  </r>
  <r>
    <x v="16"/>
    <s v="Cosmopolitan High Garden"/>
    <n v="1409"/>
    <x v="0"/>
    <x v="2"/>
    <x v="83"/>
    <x v="19"/>
    <x v="3"/>
    <n v="477677.91"/>
    <n v="1"/>
    <x v="4"/>
    <x v="0"/>
  </r>
  <r>
    <x v="16"/>
    <s v="Cosmopolitan High Garden"/>
    <n v="1410"/>
    <x v="0"/>
    <x v="2"/>
    <x v="83"/>
    <x v="61"/>
    <x v="1"/>
    <n v="355700"/>
    <n v="1"/>
    <x v="4"/>
    <x v="0"/>
  </r>
  <r>
    <x v="16"/>
    <s v="Cosmopolitan High Garden"/>
    <n v="1513"/>
    <x v="0"/>
    <x v="2"/>
    <x v="83"/>
    <x v="38"/>
    <x v="2"/>
    <n v="480200"/>
    <n v="1"/>
    <x v="4"/>
    <x v="0"/>
  </r>
  <r>
    <x v="16"/>
    <s v="Cosmopolitan High Garden"/>
    <n v="1514"/>
    <x v="0"/>
    <x v="2"/>
    <x v="83"/>
    <x v="95"/>
    <x v="9"/>
    <n v="186526.58"/>
    <n v="0.5"/>
    <x v="4"/>
    <x v="0"/>
  </r>
  <r>
    <x v="16"/>
    <s v="Cosmopolitan High Garden"/>
    <n v="1514"/>
    <x v="0"/>
    <x v="2"/>
    <x v="83"/>
    <x v="96"/>
    <x v="9"/>
    <n v="186526.58"/>
    <n v="0.5"/>
    <x v="4"/>
    <x v="0"/>
  </r>
  <r>
    <x v="16"/>
    <s v="Cosmopolitan High Garden"/>
    <n v="1602"/>
    <x v="0"/>
    <x v="2"/>
    <x v="83"/>
    <x v="38"/>
    <x v="2"/>
    <n v="370981.31"/>
    <n v="1"/>
    <x v="4"/>
    <x v="0"/>
  </r>
  <r>
    <x v="16"/>
    <s v="Cosmopolitan High Garden"/>
    <n v="1605"/>
    <x v="0"/>
    <x v="2"/>
    <x v="83"/>
    <x v="56"/>
    <x v="0"/>
    <n v="324899"/>
    <n v="0.5"/>
    <x v="4"/>
    <x v="0"/>
  </r>
  <r>
    <x v="16"/>
    <s v="Cosmopolitan High Garden"/>
    <n v="1605"/>
    <x v="0"/>
    <x v="2"/>
    <x v="83"/>
    <x v="57"/>
    <x v="0"/>
    <n v="324899"/>
    <n v="0.5"/>
    <x v="4"/>
    <x v="0"/>
  </r>
  <r>
    <x v="16"/>
    <s v="Cosmopolitan High Garden"/>
    <n v="1606"/>
    <x v="0"/>
    <x v="2"/>
    <x v="83"/>
    <x v="56"/>
    <x v="0"/>
    <n v="184900.5"/>
    <n v="0.5"/>
    <x v="4"/>
    <x v="0"/>
  </r>
  <r>
    <x v="16"/>
    <s v="Cosmopolitan High Garden"/>
    <n v="1606"/>
    <x v="0"/>
    <x v="2"/>
    <x v="83"/>
    <x v="57"/>
    <x v="0"/>
    <n v="184900.5"/>
    <n v="0.5"/>
    <x v="4"/>
    <x v="0"/>
  </r>
  <r>
    <x v="16"/>
    <s v="Cosmopolitan High Garden"/>
    <n v="1612"/>
    <x v="0"/>
    <x v="2"/>
    <x v="83"/>
    <x v="56"/>
    <x v="0"/>
    <n v="337343.13"/>
    <n v="0.5"/>
    <x v="4"/>
    <x v="0"/>
  </r>
  <r>
    <x v="16"/>
    <s v="Cosmopolitan High Garden"/>
    <n v="1612"/>
    <x v="0"/>
    <x v="2"/>
    <x v="83"/>
    <x v="57"/>
    <x v="0"/>
    <n v="337343.13"/>
    <n v="0.5"/>
    <x v="4"/>
    <x v="0"/>
  </r>
  <r>
    <x v="16"/>
    <s v="Cosmopolitan High Garden"/>
    <n v="1706"/>
    <x v="0"/>
    <x v="2"/>
    <x v="83"/>
    <x v="43"/>
    <x v="4"/>
    <n v="185950"/>
    <n v="0.5"/>
    <x v="4"/>
    <x v="0"/>
  </r>
  <r>
    <x v="16"/>
    <s v="Cosmopolitan High Garden"/>
    <n v="1706"/>
    <x v="0"/>
    <x v="2"/>
    <x v="83"/>
    <x v="53"/>
    <x v="4"/>
    <n v="185950"/>
    <n v="0.5"/>
    <x v="4"/>
    <x v="0"/>
  </r>
  <r>
    <x v="16"/>
    <s v="Cosmopolitan High Garden"/>
    <n v="1713"/>
    <x v="0"/>
    <x v="2"/>
    <x v="83"/>
    <x v="35"/>
    <x v="4"/>
    <n v="233500.33"/>
    <n v="0.5"/>
    <x v="4"/>
    <x v="0"/>
  </r>
  <r>
    <x v="16"/>
    <s v="Cosmopolitan High Garden"/>
    <n v="1713"/>
    <x v="0"/>
    <x v="2"/>
    <x v="83"/>
    <x v="97"/>
    <x v="4"/>
    <n v="233500.33"/>
    <n v="0.5"/>
    <x v="4"/>
    <x v="0"/>
  </r>
  <r>
    <x v="16"/>
    <s v="Cosmopolitan High Garden"/>
    <n v="1811"/>
    <x v="0"/>
    <x v="2"/>
    <x v="83"/>
    <x v="98"/>
    <x v="1"/>
    <n v="390100.52"/>
    <n v="1"/>
    <x v="4"/>
    <x v="0"/>
  </r>
  <r>
    <x v="16"/>
    <s v="Cosmopolitan High Garden"/>
    <n v="1908"/>
    <x v="0"/>
    <x v="2"/>
    <x v="83"/>
    <x v="83"/>
    <x v="1"/>
    <n v="469320.21"/>
    <n v="1"/>
    <x v="4"/>
    <x v="0"/>
  </r>
  <r>
    <x v="16"/>
    <s v="Cosmopolitan High Garden"/>
    <n v="1913"/>
    <x v="0"/>
    <x v="2"/>
    <x v="83"/>
    <x v="35"/>
    <x v="4"/>
    <n v="466999.99"/>
    <n v="1"/>
    <x v="4"/>
    <x v="0"/>
  </r>
  <r>
    <x v="16"/>
    <s v="Cosmopolitan High Garden"/>
    <n v="2009"/>
    <x v="0"/>
    <x v="2"/>
    <x v="83"/>
    <x v="51"/>
    <x v="2"/>
    <n v="485939.51"/>
    <n v="1"/>
    <x v="4"/>
    <x v="0"/>
  </r>
  <r>
    <x v="16"/>
    <s v="Cosmopolitan High Garden"/>
    <n v="2105"/>
    <x v="0"/>
    <x v="2"/>
    <x v="83"/>
    <x v="47"/>
    <x v="2"/>
    <n v="694927.24"/>
    <n v="1"/>
    <x v="4"/>
    <x v="0"/>
  </r>
  <r>
    <x v="16"/>
    <s v="Cosmopolitan High Garden"/>
    <n v="2113"/>
    <x v="0"/>
    <x v="2"/>
    <x v="83"/>
    <x v="67"/>
    <x v="0"/>
    <n v="526556.75"/>
    <n v="1"/>
    <x v="4"/>
    <x v="0"/>
  </r>
  <r>
    <x v="16"/>
    <s v="Cosmopolitan High Garden"/>
    <n v="2402"/>
    <x v="0"/>
    <x v="2"/>
    <x v="83"/>
    <x v="31"/>
    <x v="3"/>
    <n v="384530.4"/>
    <n v="1"/>
    <x v="4"/>
    <x v="0"/>
  </r>
  <r>
    <x v="16"/>
    <s v="Cosmopolitan High Garden"/>
    <n v="301"/>
    <x v="0"/>
    <x v="2"/>
    <x v="84"/>
    <x v="31"/>
    <x v="3"/>
    <n v="358955.19"/>
    <n v="1"/>
    <x v="4"/>
    <x v="0"/>
  </r>
  <r>
    <x v="16"/>
    <s v="Cosmopolitan High Garden"/>
    <n v="302"/>
    <x v="0"/>
    <x v="2"/>
    <x v="84"/>
    <x v="31"/>
    <x v="3"/>
    <n v="350950.07"/>
    <n v="1"/>
    <x v="4"/>
    <x v="0"/>
  </r>
  <r>
    <x v="16"/>
    <s v="Cosmopolitan High Garden"/>
    <n v="303"/>
    <x v="0"/>
    <x v="2"/>
    <x v="84"/>
    <x v="31"/>
    <x v="3"/>
    <n v="350950.07"/>
    <n v="1"/>
    <x v="4"/>
    <x v="0"/>
  </r>
  <r>
    <x v="16"/>
    <s v="Cosmopolitan High Garden"/>
    <n v="402"/>
    <x v="1"/>
    <x v="2"/>
    <x v="84"/>
    <x v="8"/>
    <x v="5"/>
    <n v="371184.04"/>
    <n v="1"/>
    <x v="4"/>
    <x v="0"/>
  </r>
  <r>
    <x v="16"/>
    <s v="Cosmopolitan High Garden"/>
    <n v="411"/>
    <x v="0"/>
    <x v="2"/>
    <x v="84"/>
    <x v="59"/>
    <x v="0"/>
    <n v="186402.68"/>
    <n v="0.5"/>
    <x v="4"/>
    <x v="0"/>
  </r>
  <r>
    <x v="16"/>
    <s v="Cosmopolitan High Garden"/>
    <n v="411"/>
    <x v="0"/>
    <x v="2"/>
    <x v="84"/>
    <x v="25"/>
    <x v="0"/>
    <n v="186402.68"/>
    <n v="0.5"/>
    <x v="4"/>
    <x v="0"/>
  </r>
  <r>
    <x v="16"/>
    <s v="Cosmopolitan High Garden"/>
    <n v="1207"/>
    <x v="0"/>
    <x v="2"/>
    <x v="84"/>
    <x v="38"/>
    <x v="2"/>
    <n v="367792.39"/>
    <n v="1"/>
    <x v="4"/>
    <x v="0"/>
  </r>
  <r>
    <x v="16"/>
    <s v="Cosmopolitan High Garden"/>
    <n v="1214"/>
    <x v="0"/>
    <x v="2"/>
    <x v="84"/>
    <x v="99"/>
    <x v="3"/>
    <n v="320425"/>
    <n v="1"/>
    <x v="4"/>
    <x v="0"/>
  </r>
  <r>
    <x v="16"/>
    <s v="Cosmopolitan High Garden"/>
    <n v="1306"/>
    <x v="0"/>
    <x v="2"/>
    <x v="84"/>
    <x v="60"/>
    <x v="4"/>
    <n v="382979.77"/>
    <n v="1"/>
    <x v="4"/>
    <x v="0"/>
  </r>
  <r>
    <x v="1"/>
    <s v="Amizade"/>
    <n v="152"/>
    <x v="0"/>
    <x v="0"/>
    <x v="84"/>
    <x v="63"/>
    <x v="1"/>
    <n v="138075"/>
    <n v="0.5"/>
    <x v="4"/>
    <x v="0"/>
  </r>
  <r>
    <x v="1"/>
    <s v="Amizade"/>
    <n v="152"/>
    <x v="0"/>
    <x v="0"/>
    <x v="84"/>
    <x v="70"/>
    <x v="2"/>
    <n v="138075"/>
    <n v="0.5"/>
    <x v="4"/>
    <x v="0"/>
  </r>
  <r>
    <x v="2"/>
    <s v="Aroeira"/>
    <n v="41"/>
    <x v="1"/>
    <x v="0"/>
    <x v="84"/>
    <x v="10"/>
    <x v="5"/>
    <n v="210000"/>
    <n v="1"/>
    <x v="4"/>
    <x v="0"/>
  </r>
  <r>
    <x v="3"/>
    <s v="Class Varanda Mariana"/>
    <n v="92"/>
    <x v="0"/>
    <x v="0"/>
    <x v="84"/>
    <x v="40"/>
    <x v="0"/>
    <n v="625000"/>
    <n v="1"/>
    <x v="4"/>
    <x v="0"/>
  </r>
  <r>
    <x v="16"/>
    <s v="Cosmopolitan High Garden"/>
    <n v="816"/>
    <x v="0"/>
    <x v="2"/>
    <x v="85"/>
    <x v="94"/>
    <x v="3"/>
    <n v="382125.78"/>
    <n v="1"/>
    <x v="4"/>
    <x v="0"/>
  </r>
  <r>
    <x v="16"/>
    <s v="Cosmopolitan High Garden"/>
    <n v="1914"/>
    <x v="1"/>
    <x v="2"/>
    <x v="85"/>
    <x v="11"/>
    <x v="5"/>
    <n v="375480.16"/>
    <n v="1"/>
    <x v="4"/>
    <x v="0"/>
  </r>
  <r>
    <x v="16"/>
    <s v="Cosmopolitan High Garden"/>
    <n v="910"/>
    <x v="0"/>
    <x v="2"/>
    <x v="86"/>
    <x v="50"/>
    <x v="9"/>
    <n v="383999.77"/>
    <n v="1"/>
    <x v="4"/>
    <x v="0"/>
  </r>
  <r>
    <x v="16"/>
    <s v="Cosmopolitan High Garden"/>
    <n v="1408"/>
    <x v="0"/>
    <x v="2"/>
    <x v="86"/>
    <x v="19"/>
    <x v="3"/>
    <n v="477677.91"/>
    <n v="1"/>
    <x v="4"/>
    <x v="0"/>
  </r>
  <r>
    <x v="16"/>
    <s v="Cosmopolitan High Garden"/>
    <n v="1707"/>
    <x v="0"/>
    <x v="2"/>
    <x v="86"/>
    <x v="100"/>
    <x v="8"/>
    <n v="374000"/>
    <n v="1"/>
    <x v="4"/>
    <x v="0"/>
  </r>
  <r>
    <x v="16"/>
    <s v="Cosmopolitan High Garden"/>
    <n v="1708"/>
    <x v="0"/>
    <x v="2"/>
    <x v="86"/>
    <x v="100"/>
    <x v="8"/>
    <n v="473000"/>
    <n v="1"/>
    <x v="4"/>
    <x v="0"/>
  </r>
  <r>
    <x v="16"/>
    <s v="Cosmopolitan High Garden"/>
    <n v="311"/>
    <x v="0"/>
    <x v="2"/>
    <x v="87"/>
    <x v="101"/>
    <x v="8"/>
    <n v="145000"/>
    <n v="0.5"/>
    <x v="4"/>
    <x v="0"/>
  </r>
  <r>
    <x v="16"/>
    <s v="Cosmopolitan High Garden"/>
    <n v="311"/>
    <x v="0"/>
    <x v="2"/>
    <x v="87"/>
    <x v="91"/>
    <x v="8"/>
    <n v="145000"/>
    <n v="0.5"/>
    <x v="4"/>
    <x v="0"/>
  </r>
  <r>
    <x v="16"/>
    <s v="Cosmopolitan High Garden"/>
    <n v="912"/>
    <x v="0"/>
    <x v="2"/>
    <x v="87"/>
    <x v="38"/>
    <x v="2"/>
    <n v="332283.03999999998"/>
    <n v="0.5"/>
    <x v="4"/>
    <x v="0"/>
  </r>
  <r>
    <x v="16"/>
    <s v="Cosmopolitan High Garden"/>
    <n v="912"/>
    <x v="0"/>
    <x v="2"/>
    <x v="87"/>
    <x v="28"/>
    <x v="2"/>
    <n v="332283.03999999998"/>
    <n v="0.5"/>
    <x v="4"/>
    <x v="0"/>
  </r>
  <r>
    <x v="16"/>
    <s v="Cosmopolitan High Garden"/>
    <n v="1006"/>
    <x v="0"/>
    <x v="2"/>
    <x v="87"/>
    <x v="28"/>
    <x v="2"/>
    <n v="388035.08"/>
    <n v="1"/>
    <x v="4"/>
    <x v="0"/>
  </r>
  <r>
    <x v="0"/>
    <s v="Acácia"/>
    <n v="31"/>
    <x v="0"/>
    <x v="0"/>
    <x v="87"/>
    <x v="6"/>
    <x v="2"/>
    <n v="223500"/>
    <n v="1"/>
    <x v="4"/>
    <x v="0"/>
  </r>
  <r>
    <x v="0"/>
    <s v="Acácia"/>
    <n v="44"/>
    <x v="0"/>
    <x v="0"/>
    <x v="87"/>
    <x v="60"/>
    <x v="4"/>
    <n v="95500"/>
    <n v="0.5"/>
    <x v="4"/>
    <x v="0"/>
  </r>
  <r>
    <x v="0"/>
    <s v="Acácia"/>
    <n v="44"/>
    <x v="0"/>
    <x v="0"/>
    <x v="87"/>
    <x v="75"/>
    <x v="4"/>
    <n v="95500"/>
    <n v="0.5"/>
    <x v="4"/>
    <x v="0"/>
  </r>
  <r>
    <x v="0"/>
    <s v="Cambuí"/>
    <n v="111"/>
    <x v="1"/>
    <x v="0"/>
    <x v="87"/>
    <x v="8"/>
    <x v="5"/>
    <n v="231300"/>
    <n v="1"/>
    <x v="4"/>
    <x v="0"/>
  </r>
  <r>
    <x v="16"/>
    <s v="Cosmopolitan High Garden"/>
    <n v="307"/>
    <x v="1"/>
    <x v="2"/>
    <x v="88"/>
    <x v="11"/>
    <x v="5"/>
    <n v="331300"/>
    <n v="1"/>
    <x v="4"/>
    <x v="0"/>
  </r>
  <r>
    <x v="5"/>
    <s v="Coral"/>
    <n v="36"/>
    <x v="1"/>
    <x v="0"/>
    <x v="88"/>
    <x v="11"/>
    <x v="5"/>
    <n v="185000"/>
    <n v="1"/>
    <x v="4"/>
    <x v="0"/>
  </r>
  <r>
    <x v="16"/>
    <s v="Cosmopolitan High Garden"/>
    <n v="1714"/>
    <x v="0"/>
    <x v="2"/>
    <x v="88"/>
    <x v="56"/>
    <x v="0"/>
    <n v="199926.68"/>
    <n v="0.5"/>
    <x v="4"/>
    <x v="0"/>
  </r>
  <r>
    <x v="16"/>
    <s v="Cosmopolitan High Garden"/>
    <n v="1714"/>
    <x v="0"/>
    <x v="2"/>
    <x v="88"/>
    <x v="57"/>
    <x v="0"/>
    <n v="199926.68"/>
    <n v="0.5"/>
    <x v="4"/>
    <x v="0"/>
  </r>
  <r>
    <x v="16"/>
    <s v="Cosmopolitan High Garden"/>
    <n v="911"/>
    <x v="1"/>
    <x v="2"/>
    <x v="89"/>
    <x v="11"/>
    <x v="5"/>
    <n v="382164"/>
    <n v="1"/>
    <x v="4"/>
    <x v="0"/>
  </r>
  <r>
    <x v="16"/>
    <s v="Cosmopolitan High Garden"/>
    <n v="1507"/>
    <x v="0"/>
    <x v="2"/>
    <x v="89"/>
    <x v="41"/>
    <x v="1"/>
    <n v="381250"/>
    <n v="1"/>
    <x v="4"/>
    <x v="0"/>
  </r>
  <r>
    <x v="16"/>
    <s v="Cosmopolitan High Garden"/>
    <n v="1611"/>
    <x v="0"/>
    <x v="2"/>
    <x v="89"/>
    <x v="85"/>
    <x v="1"/>
    <n v="180500"/>
    <n v="0.5"/>
    <x v="4"/>
    <x v="0"/>
  </r>
  <r>
    <x v="16"/>
    <s v="Cosmopolitan High Garden"/>
    <n v="1611"/>
    <x v="0"/>
    <x v="2"/>
    <x v="89"/>
    <x v="64"/>
    <x v="1"/>
    <n v="180500"/>
    <n v="0.5"/>
    <x v="4"/>
    <x v="0"/>
  </r>
  <r>
    <x v="16"/>
    <s v="Cosmopolitan High Garden"/>
    <n v="2010"/>
    <x v="0"/>
    <x v="2"/>
    <x v="89"/>
    <x v="102"/>
    <x v="1"/>
    <n v="199987.05"/>
    <n v="0.5"/>
    <x v="4"/>
    <x v="0"/>
  </r>
  <r>
    <x v="16"/>
    <s v="Cosmopolitan High Garden"/>
    <n v="2010"/>
    <x v="0"/>
    <x v="2"/>
    <x v="89"/>
    <x v="98"/>
    <x v="1"/>
    <n v="199987.05"/>
    <n v="0.5"/>
    <x v="4"/>
    <x v="0"/>
  </r>
  <r>
    <x v="16"/>
    <s v="Cosmopolitan High Garden"/>
    <n v="2011"/>
    <x v="0"/>
    <x v="2"/>
    <x v="89"/>
    <x v="103"/>
    <x v="1"/>
    <n v="199987.05"/>
    <n v="0.5"/>
    <x v="4"/>
    <x v="0"/>
  </r>
  <r>
    <x v="16"/>
    <s v="Cosmopolitan High Garden"/>
    <n v="2011"/>
    <x v="0"/>
    <x v="2"/>
    <x v="89"/>
    <x v="104"/>
    <x v="1"/>
    <n v="199987.05"/>
    <n v="0.5"/>
    <x v="4"/>
    <x v="0"/>
  </r>
  <r>
    <x v="2"/>
    <s v="Jequitibá"/>
    <n v="21"/>
    <x v="1"/>
    <x v="0"/>
    <x v="90"/>
    <x v="10"/>
    <x v="5"/>
    <n v="175000"/>
    <n v="1"/>
    <x v="4"/>
    <x v="0"/>
  </r>
  <r>
    <x v="16"/>
    <s v="Cosmopolitan High Garden"/>
    <n v="1901"/>
    <x v="0"/>
    <x v="2"/>
    <x v="90"/>
    <x v="70"/>
    <x v="2"/>
    <n v="155096"/>
    <n v="0.5"/>
    <x v="4"/>
    <x v="0"/>
  </r>
  <r>
    <x v="16"/>
    <s v="Cosmopolitan High Garden"/>
    <n v="504"/>
    <x v="0"/>
    <x v="2"/>
    <x v="91"/>
    <x v="61"/>
    <x v="1"/>
    <n v="477000"/>
    <n v="1"/>
    <x v="4"/>
    <x v="0"/>
  </r>
  <r>
    <x v="16"/>
    <s v="Cosmopolitan High Garden"/>
    <n v="901"/>
    <x v="1"/>
    <x v="2"/>
    <x v="91"/>
    <x v="10"/>
    <x v="5"/>
    <n v="330000"/>
    <n v="1"/>
    <x v="4"/>
    <x v="0"/>
  </r>
  <r>
    <x v="16"/>
    <s v="Cosmopolitan High Garden"/>
    <n v="1212"/>
    <x v="0"/>
    <x v="2"/>
    <x v="92"/>
    <x v="39"/>
    <x v="9"/>
    <n v="530980"/>
    <n v="1"/>
    <x v="4"/>
    <x v="0"/>
  </r>
  <r>
    <x v="16"/>
    <s v="Cosmopolitan High Garden"/>
    <n v="1415"/>
    <x v="1"/>
    <x v="2"/>
    <x v="92"/>
    <x v="11"/>
    <x v="5"/>
    <n v="394756.6"/>
    <n v="1"/>
    <x v="4"/>
    <x v="0"/>
  </r>
  <r>
    <x v="16"/>
    <s v="Cosmopolitan High Garden"/>
    <n v="2204"/>
    <x v="0"/>
    <x v="2"/>
    <x v="92"/>
    <x v="79"/>
    <x v="8"/>
    <n v="522966.14"/>
    <n v="1"/>
    <x v="4"/>
    <x v="0"/>
  </r>
  <r>
    <x v="16"/>
    <s v="Cosmopolitan High Garden"/>
    <n v="2210"/>
    <x v="0"/>
    <x v="2"/>
    <x v="92"/>
    <x v="5"/>
    <x v="1"/>
    <n v="392429.48"/>
    <n v="1"/>
    <x v="4"/>
    <x v="0"/>
  </r>
  <r>
    <x v="16"/>
    <s v="Cosmopolitan High Garden"/>
    <n v="515"/>
    <x v="0"/>
    <x v="2"/>
    <x v="93"/>
    <x v="90"/>
    <x v="4"/>
    <n v="382125.78"/>
    <n v="1"/>
    <x v="4"/>
    <x v="0"/>
  </r>
  <r>
    <x v="16"/>
    <s v="Cosmopolitan High Garden"/>
    <n v="516"/>
    <x v="0"/>
    <x v="2"/>
    <x v="94"/>
    <x v="90"/>
    <x v="4"/>
    <n v="382125.78"/>
    <n v="1"/>
    <x v="4"/>
    <x v="0"/>
  </r>
  <r>
    <x v="16"/>
    <s v="Cosmopolitan High Garden"/>
    <n v="1315"/>
    <x v="0"/>
    <x v="2"/>
    <x v="94"/>
    <x v="105"/>
    <x v="8"/>
    <n v="330000"/>
    <n v="1"/>
    <x v="4"/>
    <x v="0"/>
  </r>
  <r>
    <x v="0"/>
    <s v="Buriti"/>
    <n v="126"/>
    <x v="0"/>
    <x v="0"/>
    <x v="94"/>
    <x v="60"/>
    <x v="4"/>
    <n v="120000"/>
    <n v="0.5"/>
    <x v="4"/>
    <x v="0"/>
  </r>
  <r>
    <x v="0"/>
    <s v="Buriti"/>
    <n v="126"/>
    <x v="0"/>
    <x v="0"/>
    <x v="94"/>
    <x v="75"/>
    <x v="4"/>
    <n v="120000"/>
    <n v="0.5"/>
    <x v="4"/>
    <x v="0"/>
  </r>
  <r>
    <x v="10"/>
    <s v="Piazza Suprema"/>
    <n v="192"/>
    <x v="0"/>
    <x v="0"/>
    <x v="94"/>
    <x v="70"/>
    <x v="2"/>
    <n v="1200000"/>
    <n v="0.5"/>
    <x v="4"/>
    <x v="0"/>
  </r>
  <r>
    <x v="10"/>
    <s v="Piazza Suprema"/>
    <n v="192"/>
    <x v="0"/>
    <x v="0"/>
    <x v="94"/>
    <x v="82"/>
    <x v="2"/>
    <n v="1200000"/>
    <n v="0.5"/>
    <x v="4"/>
    <x v="0"/>
  </r>
  <r>
    <x v="16"/>
    <s v="Cosmopolitan High Garden"/>
    <n v="2006"/>
    <x v="0"/>
    <x v="2"/>
    <x v="94"/>
    <x v="64"/>
    <x v="1"/>
    <n v="177176.5"/>
    <n v="0.5"/>
    <x v="4"/>
    <x v="0"/>
  </r>
  <r>
    <x v="16"/>
    <s v="Cosmopolitan High Garden"/>
    <n v="2006"/>
    <x v="0"/>
    <x v="2"/>
    <x v="94"/>
    <x v="61"/>
    <x v="1"/>
    <n v="177176.5"/>
    <n v="0.5"/>
    <x v="4"/>
    <x v="0"/>
  </r>
  <r>
    <x v="16"/>
    <s v="Cosmopolitan High Garden"/>
    <n v="2110"/>
    <x v="0"/>
    <x v="2"/>
    <x v="94"/>
    <x v="88"/>
    <x v="8"/>
    <n v="397621.86"/>
    <n v="1"/>
    <x v="4"/>
    <x v="0"/>
  </r>
  <r>
    <x v="16"/>
    <s v="Cosmopolitan High Garden"/>
    <n v="2111"/>
    <x v="0"/>
    <x v="2"/>
    <x v="94"/>
    <x v="88"/>
    <x v="8"/>
    <n v="397621.86"/>
    <n v="1"/>
    <x v="4"/>
    <x v="0"/>
  </r>
  <r>
    <x v="16"/>
    <s v="Cosmopolitan High Garden"/>
    <n v="1906"/>
    <x v="0"/>
    <x v="2"/>
    <x v="95"/>
    <x v="45"/>
    <x v="0"/>
    <n v="401788.53"/>
    <n v="1"/>
    <x v="5"/>
    <x v="0"/>
  </r>
  <r>
    <x v="16"/>
    <s v="Cosmopolitan High Garden"/>
    <n v="2610"/>
    <x v="0"/>
    <x v="2"/>
    <x v="96"/>
    <x v="80"/>
    <x v="8"/>
    <n v="204200"/>
    <n v="0.5"/>
    <x v="5"/>
    <x v="0"/>
  </r>
  <r>
    <x v="16"/>
    <s v="Cosmopolitan High Garden"/>
    <n v="2610"/>
    <x v="0"/>
    <x v="2"/>
    <x v="96"/>
    <x v="106"/>
    <x v="8"/>
    <n v="204200"/>
    <n v="0.5"/>
    <x v="5"/>
    <x v="0"/>
  </r>
  <r>
    <x v="16"/>
    <s v="Cosmopolitan High Garden"/>
    <n v="2003"/>
    <x v="0"/>
    <x v="2"/>
    <x v="97"/>
    <x v="39"/>
    <x v="9"/>
    <n v="311136"/>
    <n v="1"/>
    <x v="5"/>
    <x v="0"/>
  </r>
  <r>
    <x v="16"/>
    <s v="Cosmopolitan High Garden"/>
    <n v="2112"/>
    <x v="0"/>
    <x v="2"/>
    <x v="98"/>
    <x v="40"/>
    <x v="0"/>
    <n v="340643.86"/>
    <n v="0.5"/>
    <x v="5"/>
    <x v="0"/>
  </r>
  <r>
    <x v="16"/>
    <s v="Cosmopolitan High Garden"/>
    <n v="2112"/>
    <x v="0"/>
    <x v="2"/>
    <x v="98"/>
    <x v="68"/>
    <x v="9"/>
    <n v="340643.86"/>
    <n v="0.5"/>
    <x v="5"/>
    <x v="0"/>
  </r>
  <r>
    <x v="0"/>
    <s v="Buriti"/>
    <n v="135"/>
    <x v="1"/>
    <x v="0"/>
    <x v="99"/>
    <x v="10"/>
    <x v="5"/>
    <n v="248657.21"/>
    <n v="1"/>
    <x v="5"/>
    <x v="0"/>
  </r>
  <r>
    <x v="16"/>
    <s v="Cosmopolitan High Garden"/>
    <n v="508"/>
    <x v="0"/>
    <x v="2"/>
    <x v="100"/>
    <x v="40"/>
    <x v="0"/>
    <n v="190200"/>
    <n v="0.5"/>
    <x v="5"/>
    <x v="0"/>
  </r>
  <r>
    <x v="16"/>
    <s v="Cosmopolitan High Garden"/>
    <n v="508"/>
    <x v="0"/>
    <x v="2"/>
    <x v="100"/>
    <x v="68"/>
    <x v="9"/>
    <n v="190200"/>
    <n v="0.5"/>
    <x v="5"/>
    <x v="0"/>
  </r>
  <r>
    <x v="16"/>
    <s v="Cosmopolitan High Garden"/>
    <n v="1508"/>
    <x v="0"/>
    <x v="2"/>
    <x v="100"/>
    <x v="40"/>
    <x v="0"/>
    <n v="196850"/>
    <n v="0.5"/>
    <x v="5"/>
    <x v="0"/>
  </r>
  <r>
    <x v="16"/>
    <s v="Cosmopolitan High Garden"/>
    <n v="1508"/>
    <x v="0"/>
    <x v="2"/>
    <x v="100"/>
    <x v="68"/>
    <x v="9"/>
    <n v="196850"/>
    <n v="0.5"/>
    <x v="5"/>
    <x v="0"/>
  </r>
  <r>
    <x v="0"/>
    <s v="Acácia"/>
    <n v="105"/>
    <x v="0"/>
    <x v="0"/>
    <x v="100"/>
    <x v="48"/>
    <x v="2"/>
    <n v="242141.02"/>
    <n v="1"/>
    <x v="5"/>
    <x v="0"/>
  </r>
  <r>
    <x v="1"/>
    <s v="Felicidade"/>
    <n v="196"/>
    <x v="0"/>
    <x v="0"/>
    <x v="101"/>
    <x v="107"/>
    <x v="1"/>
    <n v="333514.5"/>
    <n v="1"/>
    <x v="5"/>
    <x v="0"/>
  </r>
  <r>
    <x v="10"/>
    <s v="Piazza Suprema"/>
    <n v="151"/>
    <x v="0"/>
    <x v="0"/>
    <x v="101"/>
    <x v="108"/>
    <x v="4"/>
    <n v="568250"/>
    <n v="0.25"/>
    <x v="5"/>
    <x v="0"/>
  </r>
  <r>
    <x v="10"/>
    <s v="Piazza Suprema"/>
    <n v="151"/>
    <x v="0"/>
    <x v="0"/>
    <x v="101"/>
    <x v="109"/>
    <x v="1"/>
    <n v="568250"/>
    <n v="0.25"/>
    <x v="5"/>
    <x v="0"/>
  </r>
  <r>
    <x v="16"/>
    <s v="Cosmopolitan High Garden"/>
    <n v="509"/>
    <x v="0"/>
    <x v="2"/>
    <x v="102"/>
    <x v="64"/>
    <x v="1"/>
    <n v="237274.3"/>
    <n v="0.5"/>
    <x v="5"/>
    <x v="0"/>
  </r>
  <r>
    <x v="16"/>
    <s v="Cosmopolitan High Garden"/>
    <n v="509"/>
    <x v="0"/>
    <x v="2"/>
    <x v="102"/>
    <x v="41"/>
    <x v="1"/>
    <n v="237274.3"/>
    <n v="0.5"/>
    <x v="5"/>
    <x v="0"/>
  </r>
  <r>
    <x v="16"/>
    <s v="Cosmopolitan High Garden"/>
    <n v="1201"/>
    <x v="0"/>
    <x v="2"/>
    <x v="102"/>
    <x v="103"/>
    <x v="1"/>
    <n v="181609.12"/>
    <n v="0.5"/>
    <x v="5"/>
    <x v="0"/>
  </r>
  <r>
    <x v="16"/>
    <s v="Cosmopolitan High Garden"/>
    <n v="1201"/>
    <x v="0"/>
    <x v="2"/>
    <x v="102"/>
    <x v="102"/>
    <x v="1"/>
    <n v="181609.12"/>
    <n v="0.5"/>
    <x v="5"/>
    <x v="0"/>
  </r>
  <r>
    <x v="16"/>
    <s v="Cosmopolitan High Garden"/>
    <n v="1202"/>
    <x v="0"/>
    <x v="2"/>
    <x v="102"/>
    <x v="38"/>
    <x v="2"/>
    <n v="311241.55"/>
    <n v="1"/>
    <x v="5"/>
    <x v="0"/>
  </r>
  <r>
    <x v="16"/>
    <s v="Cosmopolitan High Garden"/>
    <n v="1316"/>
    <x v="1"/>
    <x v="2"/>
    <x v="102"/>
    <x v="8"/>
    <x v="5"/>
    <n v="394120.81"/>
    <n v="1"/>
    <x v="5"/>
    <x v="0"/>
  </r>
  <r>
    <x v="5"/>
    <s v="Solar"/>
    <n v="75"/>
    <x v="1"/>
    <x v="0"/>
    <x v="103"/>
    <x v="10"/>
    <x v="5"/>
    <n v="185276"/>
    <n v="1"/>
    <x v="5"/>
    <x v="0"/>
  </r>
  <r>
    <x v="0"/>
    <s v="Acácia"/>
    <n v="131"/>
    <x v="0"/>
    <x v="0"/>
    <x v="104"/>
    <x v="12"/>
    <x v="4"/>
    <n v="228000"/>
    <n v="1"/>
    <x v="5"/>
    <x v="0"/>
  </r>
  <r>
    <x v="3"/>
    <s v="Class Varanda Mariana"/>
    <n v="93"/>
    <x v="0"/>
    <x v="0"/>
    <x v="104"/>
    <x v="22"/>
    <x v="8"/>
    <n v="630000"/>
    <n v="1"/>
    <x v="5"/>
    <x v="0"/>
  </r>
  <r>
    <x v="16"/>
    <s v="Cosmopolitan High Garden"/>
    <n v="409"/>
    <x v="0"/>
    <x v="2"/>
    <x v="105"/>
    <x v="63"/>
    <x v="1"/>
    <n v="223200"/>
    <n v="0.5"/>
    <x v="5"/>
    <x v="0"/>
  </r>
  <r>
    <x v="16"/>
    <s v="Cosmopolitan High Garden"/>
    <n v="409"/>
    <x v="0"/>
    <x v="2"/>
    <x v="105"/>
    <x v="70"/>
    <x v="2"/>
    <n v="223200"/>
    <n v="0.5"/>
    <x v="5"/>
    <x v="0"/>
  </r>
  <r>
    <x v="16"/>
    <s v="Cosmopolitan High Garden"/>
    <n v="2408"/>
    <x v="0"/>
    <x v="2"/>
    <x v="105"/>
    <x v="63"/>
    <x v="1"/>
    <n v="241800"/>
    <n v="0.5"/>
    <x v="5"/>
    <x v="0"/>
  </r>
  <r>
    <x v="16"/>
    <s v="Cosmopolitan High Garden"/>
    <n v="2408"/>
    <x v="0"/>
    <x v="2"/>
    <x v="105"/>
    <x v="70"/>
    <x v="2"/>
    <n v="241800"/>
    <n v="0.5"/>
    <x v="5"/>
    <x v="0"/>
  </r>
  <r>
    <x v="16"/>
    <s v="Cosmopolitan High Garden"/>
    <n v="1604"/>
    <x v="0"/>
    <x v="2"/>
    <x v="106"/>
    <x v="81"/>
    <x v="3"/>
    <n v="511460.85"/>
    <n v="1"/>
    <x v="5"/>
    <x v="0"/>
  </r>
  <r>
    <x v="14"/>
    <s v="Ares do Parque Aclimação"/>
    <n v="211"/>
    <x v="0"/>
    <x v="0"/>
    <x v="106"/>
    <x v="58"/>
    <x v="4"/>
    <n v="2050000"/>
    <n v="1"/>
    <x v="5"/>
    <x v="0"/>
  </r>
  <r>
    <x v="1"/>
    <s v="Felicidade"/>
    <n v="163"/>
    <x v="0"/>
    <x v="0"/>
    <x v="107"/>
    <x v="110"/>
    <x v="4"/>
    <n v="241840"/>
    <n v="1"/>
    <x v="5"/>
    <x v="0"/>
  </r>
  <r>
    <x v="16"/>
    <s v="Cosmopolitan High Garden"/>
    <n v="1907"/>
    <x v="0"/>
    <x v="2"/>
    <x v="108"/>
    <x v="31"/>
    <x v="3"/>
    <n v="404758.25"/>
    <n v="1"/>
    <x v="5"/>
    <x v="0"/>
  </r>
  <r>
    <x v="16"/>
    <s v="Cosmopolitan High Garden"/>
    <n v="2107"/>
    <x v="0"/>
    <x v="2"/>
    <x v="108"/>
    <x v="31"/>
    <x v="3"/>
    <n v="409340.23"/>
    <n v="1"/>
    <x v="5"/>
    <x v="0"/>
  </r>
  <r>
    <x v="17"/>
    <s v="Carvalho"/>
    <n v="28"/>
    <x v="0"/>
    <x v="2"/>
    <x v="109"/>
    <x v="13"/>
    <x v="8"/>
    <n v="188230.72"/>
    <n v="0.5"/>
    <x v="5"/>
    <x v="0"/>
  </r>
  <r>
    <x v="17"/>
    <s v="Carvalho"/>
    <n v="28"/>
    <x v="0"/>
    <x v="2"/>
    <x v="109"/>
    <x v="111"/>
    <x v="8"/>
    <n v="188230.72"/>
    <n v="0.5"/>
    <x v="5"/>
    <x v="0"/>
  </r>
  <r>
    <x v="17"/>
    <s v="Carvalho"/>
    <n v="46"/>
    <x v="1"/>
    <x v="2"/>
    <x v="109"/>
    <x v="10"/>
    <x v="5"/>
    <n v="486471.79"/>
    <n v="1"/>
    <x v="5"/>
    <x v="0"/>
  </r>
  <r>
    <x v="17"/>
    <s v="Carvalho"/>
    <n v="48"/>
    <x v="0"/>
    <x v="2"/>
    <x v="109"/>
    <x v="13"/>
    <x v="8"/>
    <n v="192052.43"/>
    <n v="0.5"/>
    <x v="5"/>
    <x v="0"/>
  </r>
  <r>
    <x v="17"/>
    <s v="Carvalho"/>
    <n v="48"/>
    <x v="0"/>
    <x v="2"/>
    <x v="109"/>
    <x v="111"/>
    <x v="8"/>
    <n v="192052.43"/>
    <n v="0.5"/>
    <x v="5"/>
    <x v="0"/>
  </r>
  <r>
    <x v="17"/>
    <s v="Carvalho"/>
    <n v="57"/>
    <x v="1"/>
    <x v="2"/>
    <x v="109"/>
    <x v="10"/>
    <x v="5"/>
    <n v="500528.43"/>
    <n v="1"/>
    <x v="5"/>
    <x v="0"/>
  </r>
  <r>
    <x v="17"/>
    <s v="Eucalipto"/>
    <n v="64"/>
    <x v="0"/>
    <x v="2"/>
    <x v="109"/>
    <x v="112"/>
    <x v="2"/>
    <n v="666220.05000000005"/>
    <n v="1"/>
    <x v="5"/>
    <x v="0"/>
  </r>
  <r>
    <x v="17"/>
    <s v="Ipê"/>
    <n v="74"/>
    <x v="0"/>
    <x v="2"/>
    <x v="109"/>
    <x v="113"/>
    <x v="3"/>
    <n v="646529.66"/>
    <n v="1"/>
    <x v="5"/>
    <x v="0"/>
  </r>
  <r>
    <x v="16"/>
    <s v="Cosmopolitan High Garden"/>
    <n v="907"/>
    <x v="0"/>
    <x v="2"/>
    <x v="110"/>
    <x v="72"/>
    <x v="9"/>
    <n v="370300"/>
    <n v="1"/>
    <x v="5"/>
    <x v="0"/>
  </r>
  <r>
    <x v="17"/>
    <s v="Jequitibá"/>
    <n v="7"/>
    <x v="0"/>
    <x v="2"/>
    <x v="110"/>
    <x v="114"/>
    <x v="3"/>
    <n v="493903.91"/>
    <n v="1"/>
    <x v="5"/>
    <x v="0"/>
  </r>
  <r>
    <x v="17"/>
    <s v="Jequitibá"/>
    <n v="14"/>
    <x v="0"/>
    <x v="2"/>
    <x v="110"/>
    <x v="115"/>
    <x v="1"/>
    <n v="387928.72"/>
    <n v="1"/>
    <x v="5"/>
    <x v="0"/>
  </r>
  <r>
    <x v="17"/>
    <s v="Carvalho"/>
    <n v="26"/>
    <x v="0"/>
    <x v="2"/>
    <x v="110"/>
    <x v="116"/>
    <x v="8"/>
    <n v="225312.27"/>
    <n v="0.5"/>
    <x v="5"/>
    <x v="0"/>
  </r>
  <r>
    <x v="17"/>
    <s v="Carvalho"/>
    <n v="26"/>
    <x v="0"/>
    <x v="2"/>
    <x v="110"/>
    <x v="117"/>
    <x v="8"/>
    <n v="225312.27"/>
    <n v="0.5"/>
    <x v="5"/>
    <x v="0"/>
  </r>
  <r>
    <x v="17"/>
    <s v="Eucalipto"/>
    <n v="31"/>
    <x v="0"/>
    <x v="2"/>
    <x v="110"/>
    <x v="53"/>
    <x v="4"/>
    <n v="326610.53000000003"/>
    <n v="0.5"/>
    <x v="5"/>
    <x v="0"/>
  </r>
  <r>
    <x v="17"/>
    <s v="Eucalipto"/>
    <n v="31"/>
    <x v="0"/>
    <x v="2"/>
    <x v="110"/>
    <x v="35"/>
    <x v="4"/>
    <n v="326610.53000000003"/>
    <n v="0.5"/>
    <x v="5"/>
    <x v="0"/>
  </r>
  <r>
    <x v="17"/>
    <s v="Jequitibá"/>
    <n v="31"/>
    <x v="0"/>
    <x v="2"/>
    <x v="110"/>
    <x v="118"/>
    <x v="8"/>
    <n v="384395.95"/>
    <n v="1"/>
    <x v="5"/>
    <x v="0"/>
  </r>
  <r>
    <x v="17"/>
    <s v="Carvalho"/>
    <n v="37"/>
    <x v="0"/>
    <x v="2"/>
    <x v="110"/>
    <x v="119"/>
    <x v="2"/>
    <n v="232264.44"/>
    <n v="0.5"/>
    <x v="5"/>
    <x v="0"/>
  </r>
  <r>
    <x v="17"/>
    <s v="Carvalho"/>
    <n v="37"/>
    <x v="0"/>
    <x v="2"/>
    <x v="110"/>
    <x v="114"/>
    <x v="3"/>
    <n v="232264.44"/>
    <n v="0.5"/>
    <x v="5"/>
    <x v="0"/>
  </r>
  <r>
    <x v="17"/>
    <s v="Jequitibá"/>
    <n v="38"/>
    <x v="0"/>
    <x v="2"/>
    <x v="110"/>
    <x v="118"/>
    <x v="8"/>
    <n v="384395.95"/>
    <n v="1"/>
    <x v="5"/>
    <x v="0"/>
  </r>
  <r>
    <x v="17"/>
    <s v="Ipê"/>
    <n v="41"/>
    <x v="0"/>
    <x v="2"/>
    <x v="110"/>
    <x v="118"/>
    <x v="8"/>
    <n v="633955.6"/>
    <n v="1"/>
    <x v="5"/>
    <x v="0"/>
  </r>
  <r>
    <x v="17"/>
    <s v="Carvalho"/>
    <n v="53"/>
    <x v="0"/>
    <x v="2"/>
    <x v="110"/>
    <x v="120"/>
    <x v="9"/>
    <n v="479051.8"/>
    <n v="1"/>
    <x v="5"/>
    <x v="0"/>
  </r>
  <r>
    <x v="17"/>
    <s v="Jequitibá"/>
    <n v="56"/>
    <x v="0"/>
    <x v="2"/>
    <x v="110"/>
    <x v="119"/>
    <x v="2"/>
    <n v="507951.47"/>
    <n v="1"/>
    <x v="5"/>
    <x v="0"/>
  </r>
  <r>
    <x v="17"/>
    <s v="Carvalho"/>
    <n v="62"/>
    <x v="0"/>
    <x v="2"/>
    <x v="110"/>
    <x v="70"/>
    <x v="2"/>
    <n v="246016"/>
    <n v="0.5"/>
    <x v="5"/>
    <x v="0"/>
  </r>
  <r>
    <x v="17"/>
    <s v="Carvalho"/>
    <n v="62"/>
    <x v="0"/>
    <x v="2"/>
    <x v="110"/>
    <x v="47"/>
    <x v="2"/>
    <n v="246016"/>
    <n v="0.5"/>
    <x v="5"/>
    <x v="0"/>
  </r>
  <r>
    <x v="17"/>
    <s v="Jequitibá"/>
    <n v="65"/>
    <x v="1"/>
    <x v="2"/>
    <x v="110"/>
    <x v="10"/>
    <x v="5"/>
    <n v="401713.27"/>
    <n v="1"/>
    <x v="5"/>
    <x v="0"/>
  </r>
  <r>
    <x v="17"/>
    <s v="Carvalho"/>
    <n v="66"/>
    <x v="0"/>
    <x v="2"/>
    <x v="110"/>
    <x v="121"/>
    <x v="1"/>
    <n v="435257.82"/>
    <n v="1"/>
    <x v="5"/>
    <x v="0"/>
  </r>
  <r>
    <x v="17"/>
    <s v="Jequitibá"/>
    <n v="72"/>
    <x v="0"/>
    <x v="2"/>
    <x v="110"/>
    <x v="88"/>
    <x v="8"/>
    <n v="512328.88"/>
    <n v="1"/>
    <x v="5"/>
    <x v="0"/>
  </r>
  <r>
    <x v="17"/>
    <s v="Jequitibá"/>
    <n v="74"/>
    <x v="0"/>
    <x v="2"/>
    <x v="110"/>
    <x v="112"/>
    <x v="2"/>
    <n v="403204.43"/>
    <n v="1"/>
    <x v="5"/>
    <x v="0"/>
  </r>
  <r>
    <x v="17"/>
    <s v="Carvalho"/>
    <n v="75"/>
    <x v="0"/>
    <x v="2"/>
    <x v="110"/>
    <x v="121"/>
    <x v="1"/>
    <n v="380172.25"/>
    <n v="1"/>
    <x v="5"/>
    <x v="0"/>
  </r>
  <r>
    <x v="17"/>
    <s v="Carvalho"/>
    <n v="76"/>
    <x v="0"/>
    <x v="2"/>
    <x v="110"/>
    <x v="121"/>
    <x v="1"/>
    <n v="495656.89"/>
    <n v="1"/>
    <x v="5"/>
    <x v="0"/>
  </r>
  <r>
    <x v="17"/>
    <s v="Jequitibá"/>
    <n v="76"/>
    <x v="0"/>
    <x v="2"/>
    <x v="110"/>
    <x v="119"/>
    <x v="2"/>
    <n v="508939.15"/>
    <n v="1"/>
    <x v="5"/>
    <x v="0"/>
  </r>
  <r>
    <x v="17"/>
    <s v="Jequitibá"/>
    <n v="77"/>
    <x v="0"/>
    <x v="2"/>
    <x v="110"/>
    <x v="122"/>
    <x v="0"/>
    <n v="530824.75"/>
    <n v="1"/>
    <x v="5"/>
    <x v="0"/>
  </r>
  <r>
    <x v="17"/>
    <s v="Ipê"/>
    <n v="82"/>
    <x v="0"/>
    <x v="2"/>
    <x v="110"/>
    <x v="70"/>
    <x v="2"/>
    <n v="321969.43"/>
    <n v="0.5"/>
    <x v="5"/>
    <x v="0"/>
  </r>
  <r>
    <x v="17"/>
    <s v="Ipê"/>
    <n v="82"/>
    <x v="0"/>
    <x v="2"/>
    <x v="110"/>
    <x v="47"/>
    <x v="2"/>
    <n v="321969.43"/>
    <n v="0.5"/>
    <x v="5"/>
    <x v="0"/>
  </r>
  <r>
    <x v="17"/>
    <s v="Carvalho"/>
    <n v="82"/>
    <x v="0"/>
    <x v="2"/>
    <x v="110"/>
    <x v="121"/>
    <x v="1"/>
    <n v="493500"/>
    <n v="1"/>
    <x v="5"/>
    <x v="0"/>
  </r>
  <r>
    <x v="17"/>
    <s v="Jequitibá"/>
    <n v="83"/>
    <x v="0"/>
    <x v="2"/>
    <x v="110"/>
    <x v="65"/>
    <x v="2"/>
    <n v="524761.81000000006"/>
    <n v="1"/>
    <x v="5"/>
    <x v="0"/>
  </r>
  <r>
    <x v="17"/>
    <s v="Ipê"/>
    <n v="83"/>
    <x v="1"/>
    <x v="2"/>
    <x v="110"/>
    <x v="8"/>
    <x v="5"/>
    <n v="669289.18000000005"/>
    <n v="1"/>
    <x v="5"/>
    <x v="0"/>
  </r>
  <r>
    <x v="17"/>
    <s v="Jequitibá"/>
    <n v="85"/>
    <x v="0"/>
    <x v="2"/>
    <x v="110"/>
    <x v="71"/>
    <x v="8"/>
    <n v="398919.4"/>
    <n v="1"/>
    <x v="5"/>
    <x v="0"/>
  </r>
  <r>
    <x v="17"/>
    <s v="Carvalho"/>
    <n v="87"/>
    <x v="0"/>
    <x v="2"/>
    <x v="110"/>
    <x v="35"/>
    <x v="4"/>
    <n v="482818.43"/>
    <n v="1"/>
    <x v="5"/>
    <x v="0"/>
  </r>
  <r>
    <x v="17"/>
    <s v="Jequitibá"/>
    <n v="87"/>
    <x v="1"/>
    <x v="2"/>
    <x v="110"/>
    <x v="10"/>
    <x v="5"/>
    <n v="262115.65"/>
    <n v="0.5"/>
    <x v="5"/>
    <x v="0"/>
  </r>
  <r>
    <x v="17"/>
    <s v="Jequitibá"/>
    <n v="87"/>
    <x v="0"/>
    <x v="2"/>
    <x v="110"/>
    <x v="118"/>
    <x v="8"/>
    <n v="262115.65"/>
    <n v="0.5"/>
    <x v="5"/>
    <x v="0"/>
  </r>
  <r>
    <x v="17"/>
    <s v="VAGA EXTRA"/>
    <s v="00375G"/>
    <x v="0"/>
    <x v="2"/>
    <x v="110"/>
    <x v="112"/>
    <x v="2"/>
    <n v="30000"/>
    <n v="1"/>
    <x v="5"/>
    <x v="0"/>
  </r>
  <r>
    <x v="17"/>
    <s v="VAGA EXTRA"/>
    <s v="00487G"/>
    <x v="0"/>
    <x v="2"/>
    <x v="110"/>
    <x v="119"/>
    <x v="2"/>
    <n v="13558.87"/>
    <n v="0.5"/>
    <x v="5"/>
    <x v="0"/>
  </r>
  <r>
    <x v="17"/>
    <s v="VAGA EXTRA"/>
    <s v="00487G"/>
    <x v="0"/>
    <x v="2"/>
    <x v="110"/>
    <x v="114"/>
    <x v="3"/>
    <n v="13558.87"/>
    <n v="0.5"/>
    <x v="5"/>
    <x v="0"/>
  </r>
  <r>
    <x v="17"/>
    <s v="VAGA EXTRA"/>
    <s v="00488G"/>
    <x v="0"/>
    <x v="2"/>
    <x v="110"/>
    <x v="114"/>
    <x v="3"/>
    <n v="30073.439999999999"/>
    <n v="1"/>
    <x v="5"/>
    <x v="0"/>
  </r>
  <r>
    <x v="17"/>
    <s v="Carvalho"/>
    <n v="13"/>
    <x v="0"/>
    <x v="2"/>
    <x v="111"/>
    <x v="123"/>
    <x v="3"/>
    <n v="222914.63"/>
    <n v="0.5"/>
    <x v="5"/>
    <x v="0"/>
  </r>
  <r>
    <x v="17"/>
    <s v="Carvalho"/>
    <n v="13"/>
    <x v="1"/>
    <x v="2"/>
    <x v="111"/>
    <x v="8"/>
    <x v="5"/>
    <n v="222914.63"/>
    <n v="0.5"/>
    <x v="5"/>
    <x v="0"/>
  </r>
  <r>
    <x v="17"/>
    <s v="Carvalho"/>
    <n v="24"/>
    <x v="0"/>
    <x v="2"/>
    <x v="111"/>
    <x v="124"/>
    <x v="9"/>
    <n v="331050"/>
    <n v="1"/>
    <x v="5"/>
    <x v="0"/>
  </r>
  <r>
    <x v="10"/>
    <s v="Piazza Suprema"/>
    <n v="131"/>
    <x v="0"/>
    <x v="0"/>
    <x v="111"/>
    <x v="33"/>
    <x v="1"/>
    <n v="2300000"/>
    <n v="1"/>
    <x v="5"/>
    <x v="0"/>
  </r>
  <r>
    <x v="17"/>
    <s v="Jequitibá"/>
    <n v="32"/>
    <x v="0"/>
    <x v="2"/>
    <x v="111"/>
    <x v="53"/>
    <x v="4"/>
    <n v="222470.45"/>
    <n v="0.5"/>
    <x v="5"/>
    <x v="0"/>
  </r>
  <r>
    <x v="17"/>
    <s v="Jequitibá"/>
    <n v="32"/>
    <x v="0"/>
    <x v="2"/>
    <x v="111"/>
    <x v="35"/>
    <x v="4"/>
    <n v="222470.45"/>
    <n v="0.5"/>
    <x v="5"/>
    <x v="0"/>
  </r>
  <r>
    <x v="17"/>
    <s v="Carvalho"/>
    <n v="42"/>
    <x v="0"/>
    <x v="2"/>
    <x v="111"/>
    <x v="115"/>
    <x v="1"/>
    <n v="440740.51"/>
    <n v="1"/>
    <x v="5"/>
    <x v="0"/>
  </r>
  <r>
    <x v="17"/>
    <s v="Eucalipto"/>
    <n v="51"/>
    <x v="0"/>
    <x v="2"/>
    <x v="111"/>
    <x v="125"/>
    <x v="9"/>
    <n v="645227.11"/>
    <n v="1"/>
    <x v="5"/>
    <x v="0"/>
  </r>
  <r>
    <x v="17"/>
    <s v="Jequitibá"/>
    <n v="52"/>
    <x v="0"/>
    <x v="2"/>
    <x v="111"/>
    <x v="125"/>
    <x v="9"/>
    <n v="496338.32"/>
    <n v="1"/>
    <x v="5"/>
    <x v="0"/>
  </r>
  <r>
    <x v="17"/>
    <s v="Jequitibá"/>
    <n v="54"/>
    <x v="1"/>
    <x v="2"/>
    <x v="111"/>
    <x v="10"/>
    <x v="5"/>
    <n v="393628.07"/>
    <n v="1"/>
    <x v="5"/>
    <x v="0"/>
  </r>
  <r>
    <x v="17"/>
    <s v="Jequitibá"/>
    <n v="58"/>
    <x v="0"/>
    <x v="2"/>
    <x v="111"/>
    <x v="112"/>
    <x v="2"/>
    <n v="381473"/>
    <n v="1"/>
    <x v="5"/>
    <x v="0"/>
  </r>
  <r>
    <x v="17"/>
    <s v="Carvalho"/>
    <n v="68"/>
    <x v="0"/>
    <x v="2"/>
    <x v="111"/>
    <x v="86"/>
    <x v="3"/>
    <n v="367594.19"/>
    <n v="1"/>
    <x v="5"/>
    <x v="0"/>
  </r>
  <r>
    <x v="16"/>
    <s v="Cosmopolitan High Garden"/>
    <n v="1716"/>
    <x v="1"/>
    <x v="2"/>
    <x v="112"/>
    <x v="8"/>
    <x v="5"/>
    <n v="405170.97"/>
    <n v="1"/>
    <x v="5"/>
    <x v="0"/>
  </r>
  <r>
    <x v="5"/>
    <s v="Luna"/>
    <n v="35"/>
    <x v="1"/>
    <x v="0"/>
    <x v="112"/>
    <x v="11"/>
    <x v="5"/>
    <n v="222333.29"/>
    <n v="1"/>
    <x v="5"/>
    <x v="0"/>
  </r>
  <r>
    <x v="11"/>
    <s v="Decor Paraíso"/>
    <n v="101"/>
    <x v="0"/>
    <x v="0"/>
    <x v="112"/>
    <x v="126"/>
    <x v="4"/>
    <n v="507180"/>
    <n v="1"/>
    <x v="5"/>
    <x v="0"/>
  </r>
  <r>
    <x v="11"/>
    <s v="Decor Paraíso"/>
    <n v="131"/>
    <x v="0"/>
    <x v="0"/>
    <x v="112"/>
    <x v="126"/>
    <x v="4"/>
    <n v="517661"/>
    <n v="1"/>
    <x v="5"/>
    <x v="0"/>
  </r>
  <r>
    <x v="17"/>
    <s v="Eucalipto"/>
    <n v="33"/>
    <x v="0"/>
    <x v="2"/>
    <x v="112"/>
    <x v="65"/>
    <x v="2"/>
    <n v="590773.03"/>
    <n v="1"/>
    <x v="5"/>
    <x v="0"/>
  </r>
  <r>
    <x v="17"/>
    <s v="Eucalipto"/>
    <n v="83"/>
    <x v="0"/>
    <x v="2"/>
    <x v="112"/>
    <x v="53"/>
    <x v="4"/>
    <n v="648210.23"/>
    <n v="1"/>
    <x v="5"/>
    <x v="0"/>
  </r>
  <r>
    <x v="16"/>
    <s v="Cosmopolitan High Garden"/>
    <n v="815"/>
    <x v="0"/>
    <x v="2"/>
    <x v="113"/>
    <x v="105"/>
    <x v="8"/>
    <n v="381400"/>
    <n v="1"/>
    <x v="5"/>
    <x v="0"/>
  </r>
  <r>
    <x v="17"/>
    <s v="Jequitibá"/>
    <n v="2"/>
    <x v="0"/>
    <x v="2"/>
    <x v="113"/>
    <x v="60"/>
    <x v="4"/>
    <n v="243425"/>
    <n v="0.5"/>
    <x v="5"/>
    <x v="0"/>
  </r>
  <r>
    <x v="17"/>
    <s v="Jequitibá"/>
    <n v="2"/>
    <x v="0"/>
    <x v="2"/>
    <x v="113"/>
    <x v="45"/>
    <x v="0"/>
    <n v="243425"/>
    <n v="0.5"/>
    <x v="5"/>
    <x v="0"/>
  </r>
  <r>
    <x v="17"/>
    <s v="Jequitibá"/>
    <n v="5"/>
    <x v="0"/>
    <x v="2"/>
    <x v="113"/>
    <x v="120"/>
    <x v="9"/>
    <n v="385819.99"/>
    <n v="1"/>
    <x v="5"/>
    <x v="0"/>
  </r>
  <r>
    <x v="17"/>
    <s v="Jequitibá"/>
    <n v="18"/>
    <x v="0"/>
    <x v="2"/>
    <x v="113"/>
    <x v="127"/>
    <x v="8"/>
    <n v="375702"/>
    <n v="1"/>
    <x v="5"/>
    <x v="0"/>
  </r>
  <r>
    <x v="17"/>
    <s v="Ipê"/>
    <n v="22"/>
    <x v="0"/>
    <x v="2"/>
    <x v="113"/>
    <x v="128"/>
    <x v="9"/>
    <n v="638796"/>
    <n v="1"/>
    <x v="5"/>
    <x v="0"/>
  </r>
  <r>
    <x v="17"/>
    <s v="Eucalipto"/>
    <n v="23"/>
    <x v="0"/>
    <x v="2"/>
    <x v="113"/>
    <x v="0"/>
    <x v="0"/>
    <n v="604850"/>
    <n v="1"/>
    <x v="5"/>
    <x v="0"/>
  </r>
  <r>
    <x v="17"/>
    <s v="Jequitibá"/>
    <n v="25"/>
    <x v="0"/>
    <x v="2"/>
    <x v="113"/>
    <x v="67"/>
    <x v="0"/>
    <n v="374700"/>
    <n v="1"/>
    <x v="5"/>
    <x v="0"/>
  </r>
  <r>
    <x v="17"/>
    <s v="Carvalho"/>
    <n v="31"/>
    <x v="0"/>
    <x v="2"/>
    <x v="113"/>
    <x v="86"/>
    <x v="3"/>
    <n v="386260.76"/>
    <n v="1"/>
    <x v="5"/>
    <x v="0"/>
  </r>
  <r>
    <x v="17"/>
    <s v="Carvalho"/>
    <n v="33"/>
    <x v="0"/>
    <x v="2"/>
    <x v="113"/>
    <x v="30"/>
    <x v="9"/>
    <n v="220825"/>
    <n v="0.5"/>
    <x v="5"/>
    <x v="0"/>
  </r>
  <r>
    <x v="17"/>
    <s v="Carvalho"/>
    <n v="33"/>
    <x v="0"/>
    <x v="2"/>
    <x v="113"/>
    <x v="68"/>
    <x v="9"/>
    <n v="220825"/>
    <n v="0.5"/>
    <x v="5"/>
    <x v="0"/>
  </r>
  <r>
    <x v="17"/>
    <s v="Jequitibá"/>
    <n v="34"/>
    <x v="0"/>
    <x v="2"/>
    <x v="113"/>
    <x v="114"/>
    <x v="3"/>
    <n v="197902.58"/>
    <n v="0.5"/>
    <x v="5"/>
    <x v="0"/>
  </r>
  <r>
    <x v="17"/>
    <s v="Jequitibá"/>
    <n v="34"/>
    <x v="0"/>
    <x v="2"/>
    <x v="113"/>
    <x v="15"/>
    <x v="3"/>
    <n v="197902.58"/>
    <n v="0.5"/>
    <x v="5"/>
    <x v="0"/>
  </r>
  <r>
    <x v="17"/>
    <s v="Ipê"/>
    <n v="34"/>
    <x v="0"/>
    <x v="2"/>
    <x v="113"/>
    <x v="129"/>
    <x v="2"/>
    <n v="633914.91"/>
    <n v="1"/>
    <x v="5"/>
    <x v="0"/>
  </r>
  <r>
    <x v="17"/>
    <s v="Carvalho"/>
    <n v="35"/>
    <x v="0"/>
    <x v="2"/>
    <x v="113"/>
    <x v="130"/>
    <x v="0"/>
    <n v="372753.5"/>
    <n v="1"/>
    <x v="5"/>
    <x v="0"/>
  </r>
  <r>
    <x v="17"/>
    <s v="Jequitibá"/>
    <n v="36"/>
    <x v="0"/>
    <x v="2"/>
    <x v="113"/>
    <x v="130"/>
    <x v="0"/>
    <n v="492329"/>
    <n v="1"/>
    <x v="5"/>
    <x v="0"/>
  </r>
  <r>
    <x v="0"/>
    <s v="Station Offices Saúde"/>
    <n v="203"/>
    <x v="1"/>
    <x v="0"/>
    <x v="113"/>
    <x v="8"/>
    <x v="5"/>
    <n v="371700"/>
    <n v="1"/>
    <x v="5"/>
    <x v="0"/>
  </r>
  <r>
    <x v="17"/>
    <s v="Jequitibá"/>
    <n v="46"/>
    <x v="0"/>
    <x v="2"/>
    <x v="113"/>
    <x v="130"/>
    <x v="0"/>
    <n v="430700"/>
    <n v="1"/>
    <x v="5"/>
    <x v="0"/>
  </r>
  <r>
    <x v="17"/>
    <s v="Carvalho"/>
    <n v="51"/>
    <x v="0"/>
    <x v="2"/>
    <x v="113"/>
    <x v="131"/>
    <x v="0"/>
    <n v="384015"/>
    <n v="1"/>
    <x v="5"/>
    <x v="0"/>
  </r>
  <r>
    <x v="17"/>
    <s v="Carvalho"/>
    <n v="72"/>
    <x v="0"/>
    <x v="2"/>
    <x v="113"/>
    <x v="121"/>
    <x v="1"/>
    <n v="473568.86"/>
    <n v="1"/>
    <x v="5"/>
    <x v="0"/>
  </r>
  <r>
    <x v="17"/>
    <s v="Jequitibá"/>
    <n v="84"/>
    <x v="1"/>
    <x v="2"/>
    <x v="113"/>
    <x v="10"/>
    <x v="5"/>
    <n v="402500"/>
    <n v="1"/>
    <x v="5"/>
    <x v="0"/>
  </r>
  <r>
    <x v="17"/>
    <s v="Ipê"/>
    <n v="4"/>
    <x v="0"/>
    <x v="2"/>
    <x v="114"/>
    <x v="121"/>
    <x v="1"/>
    <n v="665200"/>
    <n v="1"/>
    <x v="6"/>
    <x v="0"/>
  </r>
  <r>
    <x v="16"/>
    <s v="Cosmopolitan High Garden"/>
    <n v="1204"/>
    <x v="0"/>
    <x v="2"/>
    <x v="115"/>
    <x v="88"/>
    <x v="8"/>
    <n v="505000"/>
    <n v="1"/>
    <x v="6"/>
    <x v="0"/>
  </r>
  <r>
    <x v="16"/>
    <s v="Cosmopolitan High Garden"/>
    <n v="2115"/>
    <x v="0"/>
    <x v="2"/>
    <x v="115"/>
    <x v="88"/>
    <x v="8"/>
    <n v="379800"/>
    <n v="1"/>
    <x v="6"/>
    <x v="0"/>
  </r>
  <r>
    <x v="17"/>
    <s v="Carvalho"/>
    <n v="25"/>
    <x v="0"/>
    <x v="2"/>
    <x v="115"/>
    <x v="112"/>
    <x v="2"/>
    <n v="355257"/>
    <n v="1"/>
    <x v="6"/>
    <x v="0"/>
  </r>
  <r>
    <x v="0"/>
    <s v="Flamboyant"/>
    <n v="58"/>
    <x v="0"/>
    <x v="0"/>
    <x v="115"/>
    <x v="0"/>
    <x v="0"/>
    <n v="209324.31"/>
    <n v="1"/>
    <x v="6"/>
    <x v="0"/>
  </r>
  <r>
    <x v="0"/>
    <s v="Acácia"/>
    <n v="102"/>
    <x v="0"/>
    <x v="0"/>
    <x v="115"/>
    <x v="0"/>
    <x v="0"/>
    <n v="130000"/>
    <n v="0.5"/>
    <x v="6"/>
    <x v="0"/>
  </r>
  <r>
    <x v="0"/>
    <s v="Acácia"/>
    <n v="102"/>
    <x v="0"/>
    <x v="0"/>
    <x v="115"/>
    <x v="45"/>
    <x v="0"/>
    <n v="130000"/>
    <n v="0.5"/>
    <x v="6"/>
    <x v="0"/>
  </r>
  <r>
    <x v="0"/>
    <s v="Buriti"/>
    <n v="131"/>
    <x v="0"/>
    <x v="0"/>
    <x v="115"/>
    <x v="132"/>
    <x v="3"/>
    <n v="225000"/>
    <n v="1"/>
    <x v="6"/>
    <x v="0"/>
  </r>
  <r>
    <x v="17"/>
    <s v="Jequitibá"/>
    <n v="44"/>
    <x v="0"/>
    <x v="2"/>
    <x v="115"/>
    <x v="133"/>
    <x v="0"/>
    <n v="367120"/>
    <n v="1"/>
    <x v="6"/>
    <x v="0"/>
  </r>
  <r>
    <x v="17"/>
    <s v="Carvalho"/>
    <n v="78"/>
    <x v="0"/>
    <x v="2"/>
    <x v="115"/>
    <x v="65"/>
    <x v="2"/>
    <n v="378000"/>
    <n v="1"/>
    <x v="6"/>
    <x v="0"/>
  </r>
  <r>
    <x v="17"/>
    <s v="Jequitibá"/>
    <n v="6"/>
    <x v="1"/>
    <x v="2"/>
    <x v="116"/>
    <x v="11"/>
    <x v="5"/>
    <n v="248655.5"/>
    <n v="0.5"/>
    <x v="6"/>
    <x v="0"/>
  </r>
  <r>
    <x v="17"/>
    <s v="Jequitibá"/>
    <n v="6"/>
    <x v="0"/>
    <x v="2"/>
    <x v="116"/>
    <x v="47"/>
    <x v="2"/>
    <n v="248655.5"/>
    <n v="0.5"/>
    <x v="6"/>
    <x v="0"/>
  </r>
  <r>
    <x v="17"/>
    <s v="Jequitibá"/>
    <n v="27"/>
    <x v="1"/>
    <x v="2"/>
    <x v="116"/>
    <x v="8"/>
    <x v="5"/>
    <n v="484990.25"/>
    <n v="1"/>
    <x v="6"/>
    <x v="0"/>
  </r>
  <r>
    <x v="17"/>
    <s v="Jequitibá"/>
    <n v="42"/>
    <x v="0"/>
    <x v="2"/>
    <x v="116"/>
    <x v="61"/>
    <x v="1"/>
    <n v="232037"/>
    <n v="0.5"/>
    <x v="6"/>
    <x v="0"/>
  </r>
  <r>
    <x v="17"/>
    <s v="Jequitibá"/>
    <n v="42"/>
    <x v="0"/>
    <x v="2"/>
    <x v="116"/>
    <x v="45"/>
    <x v="0"/>
    <n v="232037"/>
    <n v="0.5"/>
    <x v="6"/>
    <x v="0"/>
  </r>
  <r>
    <x v="16"/>
    <s v="Cosmopolitan High Garden"/>
    <n v="805"/>
    <x v="0"/>
    <x v="2"/>
    <x v="117"/>
    <x v="38"/>
    <x v="2"/>
    <n v="620500"/>
    <n v="1"/>
    <x v="6"/>
    <x v="0"/>
  </r>
  <r>
    <x v="17"/>
    <s v="Jequitibá"/>
    <n v="78"/>
    <x v="0"/>
    <x v="2"/>
    <x v="117"/>
    <x v="86"/>
    <x v="3"/>
    <n v="365283.77"/>
    <n v="1"/>
    <x v="6"/>
    <x v="0"/>
  </r>
  <r>
    <x v="17"/>
    <s v="Ipê"/>
    <n v="3"/>
    <x v="0"/>
    <x v="2"/>
    <x v="118"/>
    <x v="129"/>
    <x v="2"/>
    <n v="621600"/>
    <n v="1"/>
    <x v="6"/>
    <x v="0"/>
  </r>
  <r>
    <x v="17"/>
    <s v="Carvalho"/>
    <n v="84"/>
    <x v="0"/>
    <x v="2"/>
    <x v="118"/>
    <x v="60"/>
    <x v="4"/>
    <n v="378800"/>
    <n v="1"/>
    <x v="6"/>
    <x v="0"/>
  </r>
  <r>
    <x v="17"/>
    <s v="Carvalho"/>
    <n v="88"/>
    <x v="0"/>
    <x v="2"/>
    <x v="118"/>
    <x v="112"/>
    <x v="2"/>
    <n v="391565"/>
    <n v="1"/>
    <x v="6"/>
    <x v="0"/>
  </r>
  <r>
    <x v="17"/>
    <s v="Eucalipto"/>
    <n v="12"/>
    <x v="0"/>
    <x v="2"/>
    <x v="119"/>
    <x v="134"/>
    <x v="4"/>
    <n v="610231"/>
    <n v="1"/>
    <x v="6"/>
    <x v="0"/>
  </r>
  <r>
    <x v="17"/>
    <s v="Carvalho"/>
    <n v="22"/>
    <x v="0"/>
    <x v="2"/>
    <x v="119"/>
    <x v="121"/>
    <x v="1"/>
    <n v="442928"/>
    <n v="1"/>
    <x v="6"/>
    <x v="0"/>
  </r>
  <r>
    <x v="17"/>
    <s v="Carvalho"/>
    <n v="45"/>
    <x v="0"/>
    <x v="2"/>
    <x v="119"/>
    <x v="129"/>
    <x v="2"/>
    <n v="181400"/>
    <n v="0.5"/>
    <x v="6"/>
    <x v="0"/>
  </r>
  <r>
    <x v="17"/>
    <s v="Carvalho"/>
    <n v="45"/>
    <x v="0"/>
    <x v="2"/>
    <x v="119"/>
    <x v="112"/>
    <x v="2"/>
    <n v="181400"/>
    <n v="0.5"/>
    <x v="6"/>
    <x v="0"/>
  </r>
  <r>
    <x v="0"/>
    <s v="Buriti"/>
    <n v="145"/>
    <x v="1"/>
    <x v="0"/>
    <x v="119"/>
    <x v="8"/>
    <x v="5"/>
    <n v="250000"/>
    <n v="1"/>
    <x v="6"/>
    <x v="0"/>
  </r>
  <r>
    <x v="17"/>
    <s v="Jequitibá"/>
    <n v="51"/>
    <x v="0"/>
    <x v="2"/>
    <x v="119"/>
    <x v="112"/>
    <x v="2"/>
    <n v="384105.09"/>
    <n v="1"/>
    <x v="6"/>
    <x v="0"/>
  </r>
  <r>
    <x v="17"/>
    <s v="Carvalho"/>
    <n v="64"/>
    <x v="0"/>
    <x v="2"/>
    <x v="119"/>
    <x v="112"/>
    <x v="2"/>
    <n v="351581.49"/>
    <n v="1"/>
    <x v="6"/>
    <x v="0"/>
  </r>
  <r>
    <x v="17"/>
    <s v="Jequitibá"/>
    <n v="11"/>
    <x v="0"/>
    <x v="2"/>
    <x v="120"/>
    <x v="115"/>
    <x v="1"/>
    <n v="189100"/>
    <n v="0.5"/>
    <x v="6"/>
    <x v="0"/>
  </r>
  <r>
    <x v="17"/>
    <s v="Jequitibá"/>
    <n v="11"/>
    <x v="0"/>
    <x v="2"/>
    <x v="120"/>
    <x v="135"/>
    <x v="1"/>
    <n v="189100"/>
    <n v="0.5"/>
    <x v="6"/>
    <x v="0"/>
  </r>
  <r>
    <x v="17"/>
    <s v="Jequitibá"/>
    <n v="63"/>
    <x v="1"/>
    <x v="2"/>
    <x v="120"/>
    <x v="10"/>
    <x v="5"/>
    <n v="524761.72"/>
    <n v="1"/>
    <x v="6"/>
    <x v="0"/>
  </r>
  <r>
    <x v="17"/>
    <s v="Jequitibá"/>
    <n v="61"/>
    <x v="0"/>
    <x v="2"/>
    <x v="121"/>
    <x v="116"/>
    <x v="8"/>
    <n v="195874.23"/>
    <n v="0.5"/>
    <x v="6"/>
    <x v="0"/>
  </r>
  <r>
    <x v="17"/>
    <s v="Jequitibá"/>
    <n v="61"/>
    <x v="0"/>
    <x v="2"/>
    <x v="121"/>
    <x v="117"/>
    <x v="8"/>
    <n v="195874.23"/>
    <n v="0.5"/>
    <x v="6"/>
    <x v="0"/>
  </r>
  <r>
    <x v="17"/>
    <s v="Jequitibá"/>
    <n v="15"/>
    <x v="0"/>
    <x v="2"/>
    <x v="122"/>
    <x v="127"/>
    <x v="8"/>
    <n v="387928.86"/>
    <n v="1"/>
    <x v="6"/>
    <x v="0"/>
  </r>
  <r>
    <x v="17"/>
    <s v="Jequitibá"/>
    <n v="73"/>
    <x v="0"/>
    <x v="2"/>
    <x v="122"/>
    <x v="86"/>
    <x v="3"/>
    <n v="522967.86"/>
    <n v="1"/>
    <x v="6"/>
    <x v="0"/>
  </r>
  <r>
    <x v="1"/>
    <s v="Felicidade"/>
    <n v="173"/>
    <x v="0"/>
    <x v="0"/>
    <x v="123"/>
    <x v="136"/>
    <x v="4"/>
    <n v="130000"/>
    <n v="0.5"/>
    <x v="6"/>
    <x v="0"/>
  </r>
  <r>
    <x v="1"/>
    <s v="Felicidade"/>
    <n v="173"/>
    <x v="0"/>
    <x v="0"/>
    <x v="123"/>
    <x v="137"/>
    <x v="0"/>
    <n v="130000"/>
    <n v="0.5"/>
    <x v="6"/>
    <x v="0"/>
  </r>
  <r>
    <x v="5"/>
    <s v="Brisa"/>
    <n v="51"/>
    <x v="1"/>
    <x v="0"/>
    <x v="123"/>
    <x v="10"/>
    <x v="5"/>
    <n v="215000"/>
    <n v="1"/>
    <x v="6"/>
    <x v="0"/>
  </r>
  <r>
    <x v="17"/>
    <s v="Jequitibá"/>
    <n v="4"/>
    <x v="0"/>
    <x v="2"/>
    <x v="124"/>
    <x v="127"/>
    <x v="8"/>
    <n v="402478.88"/>
    <n v="1"/>
    <x v="6"/>
    <x v="0"/>
  </r>
  <r>
    <x v="9"/>
    <s v="Host Paraíso"/>
    <n v="308"/>
    <x v="2"/>
    <x v="1"/>
    <x v="124"/>
    <x v="69"/>
    <x v="6"/>
    <n v="403806.89"/>
    <n v="1"/>
    <x v="6"/>
    <x v="0"/>
  </r>
  <r>
    <x v="3"/>
    <s v="Class Varanda Mariana"/>
    <n v="24"/>
    <x v="0"/>
    <x v="0"/>
    <x v="125"/>
    <x v="59"/>
    <x v="0"/>
    <n v="543493"/>
    <n v="1"/>
    <x v="6"/>
    <x v="0"/>
  </r>
  <r>
    <x v="16"/>
    <s v="Cosmopolitan High Garden"/>
    <n v="2102"/>
    <x v="0"/>
    <x v="2"/>
    <x v="126"/>
    <x v="138"/>
    <x v="1"/>
    <n v="347100"/>
    <n v="1"/>
    <x v="6"/>
    <x v="0"/>
  </r>
  <r>
    <x v="14"/>
    <s v="Ares do Parque Aclimação"/>
    <n v="162"/>
    <x v="1"/>
    <x v="0"/>
    <x v="127"/>
    <x v="11"/>
    <x v="5"/>
    <n v="2307800.1"/>
    <n v="1"/>
    <x v="6"/>
    <x v="0"/>
  </r>
  <r>
    <x v="17"/>
    <s v="Carvalho"/>
    <n v="17"/>
    <x v="0"/>
    <x v="2"/>
    <x v="128"/>
    <x v="115"/>
    <x v="1"/>
    <n v="466064.53"/>
    <n v="1"/>
    <x v="6"/>
    <x v="0"/>
  </r>
  <r>
    <x v="2"/>
    <s v="Figueira"/>
    <n v="31"/>
    <x v="1"/>
    <x v="0"/>
    <x v="128"/>
    <x v="10"/>
    <x v="5"/>
    <n v="105683.02"/>
    <n v="0.5"/>
    <x v="6"/>
    <x v="0"/>
  </r>
  <r>
    <x v="2"/>
    <s v="Figueira"/>
    <n v="31"/>
    <x v="1"/>
    <x v="0"/>
    <x v="128"/>
    <x v="8"/>
    <x v="5"/>
    <n v="105683.02"/>
    <n v="0.5"/>
    <x v="6"/>
    <x v="0"/>
  </r>
  <r>
    <x v="9"/>
    <s v="Host Paraíso"/>
    <n v="501"/>
    <x v="2"/>
    <x v="1"/>
    <x v="128"/>
    <x v="16"/>
    <x v="6"/>
    <n v="602843.42000000004"/>
    <n v="1"/>
    <x v="6"/>
    <x v="0"/>
  </r>
  <r>
    <x v="17"/>
    <s v="Jequitibá"/>
    <n v="22"/>
    <x v="0"/>
    <x v="2"/>
    <x v="129"/>
    <x v="60"/>
    <x v="4"/>
    <n v="444878.64"/>
    <n v="1"/>
    <x v="6"/>
    <x v="0"/>
  </r>
  <r>
    <x v="16"/>
    <s v="Cosmopolitan High Garden"/>
    <n v="2306"/>
    <x v="0"/>
    <x v="2"/>
    <x v="129"/>
    <x v="86"/>
    <x v="3"/>
    <n v="419041"/>
    <n v="1"/>
    <x v="6"/>
    <x v="0"/>
  </r>
  <r>
    <x v="0"/>
    <s v="Buriti"/>
    <n v="162"/>
    <x v="0"/>
    <x v="0"/>
    <x v="130"/>
    <x v="15"/>
    <x v="3"/>
    <n v="125000"/>
    <n v="0.5"/>
    <x v="6"/>
    <x v="0"/>
  </r>
  <r>
    <x v="0"/>
    <s v="Buriti"/>
    <n v="162"/>
    <x v="0"/>
    <x v="0"/>
    <x v="130"/>
    <x v="0"/>
    <x v="0"/>
    <n v="125000"/>
    <n v="0.5"/>
    <x v="6"/>
    <x v="0"/>
  </r>
  <r>
    <x v="5"/>
    <s v="Solar"/>
    <n v="33"/>
    <x v="0"/>
    <x v="0"/>
    <x v="130"/>
    <x v="2"/>
    <x v="2"/>
    <n v="186383"/>
    <n v="1"/>
    <x v="6"/>
    <x v="0"/>
  </r>
  <r>
    <x v="12"/>
    <s v="Gallery Offices"/>
    <n v="110"/>
    <x v="0"/>
    <x v="0"/>
    <x v="131"/>
    <x v="86"/>
    <x v="3"/>
    <n v="434712"/>
    <n v="1"/>
    <x v="6"/>
    <x v="0"/>
  </r>
  <r>
    <x v="16"/>
    <s v="Cosmopolitan High Garden"/>
    <n v="1916"/>
    <x v="0"/>
    <x v="2"/>
    <x v="132"/>
    <x v="38"/>
    <x v="2"/>
    <n v="360000"/>
    <n v="1"/>
    <x v="6"/>
    <x v="0"/>
  </r>
  <r>
    <x v="0"/>
    <s v="Buriti"/>
    <n v="156"/>
    <x v="0"/>
    <x v="0"/>
    <x v="132"/>
    <x v="50"/>
    <x v="9"/>
    <n v="275138.71000000002"/>
    <n v="1"/>
    <x v="6"/>
    <x v="0"/>
  </r>
  <r>
    <x v="3"/>
    <s v="Class Varanda Mariana"/>
    <n v="113"/>
    <x v="0"/>
    <x v="0"/>
    <x v="132"/>
    <x v="27"/>
    <x v="2"/>
    <n v="724550"/>
    <n v="1"/>
    <x v="6"/>
    <x v="0"/>
  </r>
  <r>
    <x v="3"/>
    <s v="Class Varanda Mariana"/>
    <n v="123"/>
    <x v="0"/>
    <x v="0"/>
    <x v="132"/>
    <x v="27"/>
    <x v="2"/>
    <n v="724550"/>
    <n v="1"/>
    <x v="6"/>
    <x v="0"/>
  </r>
  <r>
    <x v="12"/>
    <s v="Gallery Offices"/>
    <n v="705"/>
    <x v="0"/>
    <x v="0"/>
    <x v="132"/>
    <x v="52"/>
    <x v="4"/>
    <n v="400010.92"/>
    <n v="1"/>
    <x v="6"/>
    <x v="0"/>
  </r>
  <r>
    <x v="16"/>
    <s v="Cosmopolitan High Garden"/>
    <n v="2314"/>
    <x v="0"/>
    <x v="2"/>
    <x v="132"/>
    <x v="38"/>
    <x v="2"/>
    <n v="365700"/>
    <n v="1"/>
    <x v="6"/>
    <x v="0"/>
  </r>
  <r>
    <x v="7"/>
    <s v="Única"/>
    <n v="214"/>
    <x v="2"/>
    <x v="1"/>
    <x v="133"/>
    <x v="139"/>
    <x v="6"/>
    <n v="1011891.14"/>
    <n v="1"/>
    <x v="6"/>
    <x v="0"/>
  </r>
  <r>
    <x v="4"/>
    <s v="Tons da Villa"/>
    <n v="163"/>
    <x v="0"/>
    <x v="0"/>
    <x v="133"/>
    <x v="83"/>
    <x v="1"/>
    <n v="371619.29"/>
    <n v="1"/>
    <x v="6"/>
    <x v="0"/>
  </r>
  <r>
    <x v="16"/>
    <s v="Cosmopolitan High Garden"/>
    <n v="1403"/>
    <x v="0"/>
    <x v="2"/>
    <x v="134"/>
    <x v="140"/>
    <x v="4"/>
    <n v="373800"/>
    <n v="1"/>
    <x v="6"/>
    <x v="0"/>
  </r>
  <r>
    <x v="7"/>
    <s v="Lirio"/>
    <n v="93"/>
    <x v="0"/>
    <x v="0"/>
    <x v="134"/>
    <x v="141"/>
    <x v="0"/>
    <n v="726639.25"/>
    <n v="1"/>
    <x v="6"/>
    <x v="0"/>
  </r>
  <r>
    <x v="16"/>
    <s v="Cosmopolitan High Garden"/>
    <n v="2116"/>
    <x v="0"/>
    <x v="2"/>
    <x v="135"/>
    <x v="140"/>
    <x v="4"/>
    <n v="343103.35"/>
    <n v="1"/>
    <x v="6"/>
    <x v="0"/>
  </r>
  <r>
    <x v="0"/>
    <s v="Acácia"/>
    <n v="36"/>
    <x v="2"/>
    <x v="1"/>
    <x v="136"/>
    <x v="16"/>
    <x v="6"/>
    <n v="243927"/>
    <n v="1"/>
    <x v="6"/>
    <x v="0"/>
  </r>
  <r>
    <x v="16"/>
    <s v="Cosmopolitan High Garden"/>
    <n v="1904"/>
    <x v="0"/>
    <x v="2"/>
    <x v="137"/>
    <x v="81"/>
    <x v="3"/>
    <n v="432000"/>
    <n v="1"/>
    <x v="6"/>
    <x v="0"/>
  </r>
  <r>
    <x v="3"/>
    <s v="Class Varanda Mariana"/>
    <n v="34"/>
    <x v="0"/>
    <x v="0"/>
    <x v="137"/>
    <x v="142"/>
    <x v="2"/>
    <n v="485000"/>
    <n v="1"/>
    <x v="6"/>
    <x v="0"/>
  </r>
  <r>
    <x v="9"/>
    <s v="Host Paraíso"/>
    <n v="611"/>
    <x v="2"/>
    <x v="1"/>
    <x v="137"/>
    <x v="16"/>
    <x v="6"/>
    <n v="403035.61"/>
    <n v="1"/>
    <x v="6"/>
    <x v="0"/>
  </r>
  <r>
    <x v="16"/>
    <s v="Cosmopolitan High Garden"/>
    <n v="1205"/>
    <x v="0"/>
    <x v="2"/>
    <x v="138"/>
    <x v="143"/>
    <x v="4"/>
    <n v="285000"/>
    <n v="0.5"/>
    <x v="7"/>
    <x v="0"/>
  </r>
  <r>
    <x v="16"/>
    <s v="Cosmopolitan High Garden"/>
    <n v="1205"/>
    <x v="0"/>
    <x v="2"/>
    <x v="138"/>
    <x v="53"/>
    <x v="4"/>
    <n v="285000"/>
    <n v="0.5"/>
    <x v="7"/>
    <x v="0"/>
  </r>
  <r>
    <x v="1"/>
    <s v="Amizade"/>
    <n v="58"/>
    <x v="0"/>
    <x v="0"/>
    <x v="138"/>
    <x v="14"/>
    <x v="0"/>
    <n v="261000"/>
    <n v="1"/>
    <x v="7"/>
    <x v="0"/>
  </r>
  <r>
    <x v="11"/>
    <s v="Decor Paraíso"/>
    <n v="33"/>
    <x v="0"/>
    <x v="0"/>
    <x v="138"/>
    <x v="53"/>
    <x v="4"/>
    <n v="208500"/>
    <n v="0.5"/>
    <x v="7"/>
    <x v="0"/>
  </r>
  <r>
    <x v="11"/>
    <s v="Decor Paraíso"/>
    <n v="53"/>
    <x v="0"/>
    <x v="0"/>
    <x v="138"/>
    <x v="53"/>
    <x v="4"/>
    <n v="215500"/>
    <n v="0.5"/>
    <x v="7"/>
    <x v="0"/>
  </r>
  <r>
    <x v="11"/>
    <s v="Decor Paraíso"/>
    <n v="122"/>
    <x v="0"/>
    <x v="0"/>
    <x v="138"/>
    <x v="36"/>
    <x v="3"/>
    <n v="450000"/>
    <n v="1"/>
    <x v="7"/>
    <x v="0"/>
  </r>
  <r>
    <x v="16"/>
    <s v="Cosmopolitan High Garden"/>
    <n v="2516"/>
    <x v="0"/>
    <x v="2"/>
    <x v="138"/>
    <x v="143"/>
    <x v="4"/>
    <n v="167500"/>
    <n v="0.5"/>
    <x v="7"/>
    <x v="0"/>
  </r>
  <r>
    <x v="16"/>
    <s v="Cosmopolitan High Garden"/>
    <n v="2516"/>
    <x v="0"/>
    <x v="2"/>
    <x v="138"/>
    <x v="53"/>
    <x v="4"/>
    <n v="167500"/>
    <n v="0.5"/>
    <x v="7"/>
    <x v="0"/>
  </r>
  <r>
    <x v="12"/>
    <s v="Gallery Offices"/>
    <n v="1005"/>
    <x v="0"/>
    <x v="0"/>
    <x v="139"/>
    <x v="18"/>
    <x v="4"/>
    <n v="452100"/>
    <n v="1"/>
    <x v="7"/>
    <x v="0"/>
  </r>
  <r>
    <x v="16"/>
    <s v="Cosmopolitan High Garden"/>
    <n v="2603"/>
    <x v="0"/>
    <x v="2"/>
    <x v="140"/>
    <x v="89"/>
    <x v="8"/>
    <n v="417781"/>
    <n v="1"/>
    <x v="7"/>
    <x v="0"/>
  </r>
  <r>
    <x v="11"/>
    <s v="Decor Paraíso"/>
    <n v="35"/>
    <x v="0"/>
    <x v="0"/>
    <x v="141"/>
    <x v="144"/>
    <x v="4"/>
    <n v="400000"/>
    <n v="1"/>
    <x v="7"/>
    <x v="0"/>
  </r>
  <r>
    <x v="8"/>
    <s v="Duquesa"/>
    <n v="42"/>
    <x v="1"/>
    <x v="0"/>
    <x v="142"/>
    <x v="8"/>
    <x v="5"/>
    <n v="900000"/>
    <n v="1"/>
    <x v="7"/>
    <x v="0"/>
  </r>
  <r>
    <x v="7"/>
    <s v="Única"/>
    <n v="103"/>
    <x v="0"/>
    <x v="0"/>
    <x v="143"/>
    <x v="141"/>
    <x v="0"/>
    <n v="860000"/>
    <n v="1"/>
    <x v="7"/>
    <x v="0"/>
  </r>
  <r>
    <x v="16"/>
    <s v="Cosmopolitan High Garden"/>
    <n v="2307"/>
    <x v="1"/>
    <x v="2"/>
    <x v="144"/>
    <x v="11"/>
    <x v="5"/>
    <n v="393298"/>
    <n v="1"/>
    <x v="7"/>
    <x v="0"/>
  </r>
  <r>
    <x v="3"/>
    <s v="Class Varanda Mariana"/>
    <n v="54"/>
    <x v="0"/>
    <x v="0"/>
    <x v="145"/>
    <x v="41"/>
    <x v="1"/>
    <n v="546518"/>
    <n v="1"/>
    <x v="7"/>
    <x v="0"/>
  </r>
  <r>
    <x v="3"/>
    <s v="Vaga Extra"/>
    <s v="0051P"/>
    <x v="0"/>
    <x v="0"/>
    <x v="145"/>
    <x v="41"/>
    <x v="1"/>
    <n v="29750.43"/>
    <n v="1"/>
    <x v="7"/>
    <x v="0"/>
  </r>
  <r>
    <x v="12"/>
    <s v="Gallery Offices"/>
    <n v="1112"/>
    <x v="0"/>
    <x v="0"/>
    <x v="146"/>
    <x v="40"/>
    <x v="0"/>
    <n v="445000"/>
    <n v="1"/>
    <x v="7"/>
    <x v="0"/>
  </r>
  <r>
    <x v="16"/>
    <s v="Cosmopolitan High Garden"/>
    <n v="1405"/>
    <x v="0"/>
    <x v="2"/>
    <x v="147"/>
    <x v="25"/>
    <x v="0"/>
    <n v="328526.96000000002"/>
    <n v="0.5"/>
    <x v="7"/>
    <x v="0"/>
  </r>
  <r>
    <x v="16"/>
    <s v="Cosmopolitan High Garden"/>
    <n v="1405"/>
    <x v="0"/>
    <x v="2"/>
    <x v="147"/>
    <x v="90"/>
    <x v="4"/>
    <n v="328526.96999999997"/>
    <n v="0.5"/>
    <x v="7"/>
    <x v="0"/>
  </r>
  <r>
    <x v="16"/>
    <s v="Cosmopolitan High Garden"/>
    <n v="1505"/>
    <x v="0"/>
    <x v="2"/>
    <x v="147"/>
    <x v="25"/>
    <x v="0"/>
    <n v="316723.37"/>
    <n v="0.5"/>
    <x v="7"/>
    <x v="0"/>
  </r>
  <r>
    <x v="16"/>
    <s v="Cosmopolitan High Garden"/>
    <n v="1505"/>
    <x v="0"/>
    <x v="2"/>
    <x v="147"/>
    <x v="90"/>
    <x v="4"/>
    <n v="316723.36"/>
    <n v="0.5"/>
    <x v="7"/>
    <x v="0"/>
  </r>
  <r>
    <x v="3"/>
    <s v="Class Varanda Mariana"/>
    <n v="12"/>
    <x v="0"/>
    <x v="0"/>
    <x v="147"/>
    <x v="24"/>
    <x v="0"/>
    <n v="319600"/>
    <n v="0.5"/>
    <x v="7"/>
    <x v="0"/>
  </r>
  <r>
    <x v="3"/>
    <s v="Class Varanda Mariana"/>
    <n v="12"/>
    <x v="0"/>
    <x v="0"/>
    <x v="147"/>
    <x v="1"/>
    <x v="1"/>
    <n v="319600"/>
    <n v="0.5"/>
    <x v="7"/>
    <x v="0"/>
  </r>
  <r>
    <x v="17"/>
    <s v="Cedro"/>
    <n v="62"/>
    <x v="0"/>
    <x v="2"/>
    <x v="148"/>
    <x v="145"/>
    <x v="1"/>
    <n v="518000"/>
    <n v="1"/>
    <x v="7"/>
    <x v="0"/>
  </r>
  <r>
    <x v="17"/>
    <s v="Oliveira"/>
    <n v="67"/>
    <x v="0"/>
    <x v="2"/>
    <x v="148"/>
    <x v="127"/>
    <x v="8"/>
    <n v="555000"/>
    <n v="1"/>
    <x v="7"/>
    <x v="0"/>
  </r>
  <r>
    <x v="17"/>
    <s v="Cedro"/>
    <n v="73"/>
    <x v="0"/>
    <x v="2"/>
    <x v="148"/>
    <x v="112"/>
    <x v="2"/>
    <n v="522285.54"/>
    <n v="1"/>
    <x v="7"/>
    <x v="0"/>
  </r>
  <r>
    <x v="17"/>
    <s v="Oliveira"/>
    <n v="76"/>
    <x v="0"/>
    <x v="2"/>
    <x v="148"/>
    <x v="118"/>
    <x v="8"/>
    <n v="556094"/>
    <n v="1"/>
    <x v="7"/>
    <x v="0"/>
  </r>
  <r>
    <x v="17"/>
    <s v="Cedro"/>
    <n v="77"/>
    <x v="0"/>
    <x v="2"/>
    <x v="148"/>
    <x v="146"/>
    <x v="3"/>
    <n v="523533.88"/>
    <n v="1"/>
    <x v="7"/>
    <x v="0"/>
  </r>
  <r>
    <x v="17"/>
    <s v="Cedro"/>
    <n v="83"/>
    <x v="0"/>
    <x v="2"/>
    <x v="148"/>
    <x v="130"/>
    <x v="0"/>
    <n v="510394"/>
    <n v="1"/>
    <x v="7"/>
    <x v="0"/>
  </r>
  <r>
    <x v="17"/>
    <s v="Oliveira"/>
    <n v="85"/>
    <x v="0"/>
    <x v="2"/>
    <x v="148"/>
    <x v="100"/>
    <x v="8"/>
    <n v="406154.17"/>
    <n v="1"/>
    <x v="7"/>
    <x v="0"/>
  </r>
  <r>
    <x v="17"/>
    <s v="Cedro"/>
    <n v="86"/>
    <x v="1"/>
    <x v="2"/>
    <x v="148"/>
    <x v="10"/>
    <x v="5"/>
    <n v="536143.56000000006"/>
    <n v="1"/>
    <x v="7"/>
    <x v="0"/>
  </r>
  <r>
    <x v="17"/>
    <s v="Oliveira"/>
    <n v="45"/>
    <x v="0"/>
    <x v="2"/>
    <x v="149"/>
    <x v="118"/>
    <x v="8"/>
    <n v="392870.6"/>
    <n v="1"/>
    <x v="7"/>
    <x v="0"/>
  </r>
  <r>
    <x v="17"/>
    <s v="Cedro"/>
    <n v="48"/>
    <x v="0"/>
    <x v="2"/>
    <x v="149"/>
    <x v="121"/>
    <x v="1"/>
    <n v="356555"/>
    <n v="1"/>
    <x v="7"/>
    <x v="0"/>
  </r>
  <r>
    <x v="10"/>
    <s v="Piazza Suprema"/>
    <n v="21"/>
    <x v="0"/>
    <x v="0"/>
    <x v="149"/>
    <x v="51"/>
    <x v="2"/>
    <n v="2375000"/>
    <n v="1"/>
    <x v="7"/>
    <x v="0"/>
  </r>
  <r>
    <x v="17"/>
    <s v="Oliveira"/>
    <n v="87"/>
    <x v="0"/>
    <x v="2"/>
    <x v="149"/>
    <x v="130"/>
    <x v="0"/>
    <n v="557743.26"/>
    <n v="1"/>
    <x v="7"/>
    <x v="0"/>
  </r>
  <r>
    <x v="16"/>
    <s v="Cosmopolitan High Garden"/>
    <n v="1705"/>
    <x v="0"/>
    <x v="2"/>
    <x v="150"/>
    <x v="54"/>
    <x v="4"/>
    <n v="633439.62"/>
    <n v="1"/>
    <x v="7"/>
    <x v="0"/>
  </r>
  <r>
    <x v="17"/>
    <s v="Cedro"/>
    <n v="53"/>
    <x v="0"/>
    <x v="2"/>
    <x v="150"/>
    <x v="130"/>
    <x v="0"/>
    <n v="512572.05"/>
    <n v="1"/>
    <x v="7"/>
    <x v="0"/>
  </r>
  <r>
    <x v="16"/>
    <s v="Cosmopolitan High Garden"/>
    <n v="615"/>
    <x v="0"/>
    <x v="2"/>
    <x v="151"/>
    <x v="105"/>
    <x v="8"/>
    <n v="397849.67"/>
    <n v="1"/>
    <x v="7"/>
    <x v="0"/>
  </r>
  <r>
    <x v="17"/>
    <s v="Eucalipto"/>
    <n v="13"/>
    <x v="0"/>
    <x v="2"/>
    <x v="151"/>
    <x v="68"/>
    <x v="9"/>
    <n v="623000"/>
    <n v="1"/>
    <x v="7"/>
    <x v="0"/>
  </r>
  <r>
    <x v="17"/>
    <s v="Cedro"/>
    <n v="28"/>
    <x v="0"/>
    <x v="2"/>
    <x v="151"/>
    <x v="112"/>
    <x v="2"/>
    <n v="380375"/>
    <n v="1"/>
    <x v="7"/>
    <x v="0"/>
  </r>
  <r>
    <x v="17"/>
    <s v="Cedro"/>
    <n v="55"/>
    <x v="0"/>
    <x v="2"/>
    <x v="151"/>
    <x v="121"/>
    <x v="1"/>
    <n v="397685.25"/>
    <n v="1"/>
    <x v="7"/>
    <x v="0"/>
  </r>
  <r>
    <x v="0"/>
    <s v="Acácia"/>
    <n v="136"/>
    <x v="0"/>
    <x v="0"/>
    <x v="151"/>
    <x v="147"/>
    <x v="3"/>
    <n v="245000"/>
    <n v="1"/>
    <x v="7"/>
    <x v="0"/>
  </r>
  <r>
    <x v="1"/>
    <s v="Felicidade"/>
    <n v="188"/>
    <x v="0"/>
    <x v="0"/>
    <x v="151"/>
    <x v="2"/>
    <x v="2"/>
    <n v="260482.38"/>
    <n v="1"/>
    <x v="7"/>
    <x v="0"/>
  </r>
  <r>
    <x v="16"/>
    <s v="Cosmopolitan High Garden"/>
    <n v="2507"/>
    <x v="1"/>
    <x v="2"/>
    <x v="151"/>
    <x v="11"/>
    <x v="5"/>
    <n v="430030.28"/>
    <n v="1"/>
    <x v="7"/>
    <x v="0"/>
  </r>
  <r>
    <x v="17"/>
    <s v="Cedro"/>
    <n v="66"/>
    <x v="0"/>
    <x v="2"/>
    <x v="151"/>
    <x v="119"/>
    <x v="2"/>
    <n v="483500"/>
    <n v="1"/>
    <x v="7"/>
    <x v="0"/>
  </r>
  <r>
    <x v="17"/>
    <s v="Cedro"/>
    <n v="75"/>
    <x v="0"/>
    <x v="2"/>
    <x v="151"/>
    <x v="121"/>
    <x v="1"/>
    <n v="374500"/>
    <n v="1"/>
    <x v="7"/>
    <x v="0"/>
  </r>
  <r>
    <x v="16"/>
    <s v="Cosmopolitan High Garden"/>
    <n v="1905"/>
    <x v="0"/>
    <x v="2"/>
    <x v="152"/>
    <x v="148"/>
    <x v="9"/>
    <n v="641419.87"/>
    <n v="1"/>
    <x v="7"/>
    <x v="0"/>
  </r>
  <r>
    <x v="3"/>
    <s v="Class Varanda Mariana"/>
    <n v="16"/>
    <x v="0"/>
    <x v="2"/>
    <x v="152"/>
    <x v="18"/>
    <x v="4"/>
    <n v="606000"/>
    <n v="1"/>
    <x v="7"/>
    <x v="0"/>
  </r>
  <r>
    <x v="3"/>
    <s v="Class Varanda Mariana"/>
    <n v="37"/>
    <x v="1"/>
    <x v="2"/>
    <x v="152"/>
    <x v="8"/>
    <x v="5"/>
    <n v="685000"/>
    <n v="1"/>
    <x v="7"/>
    <x v="0"/>
  </r>
  <r>
    <x v="18"/>
    <s v="Meridiano"/>
    <n v="221"/>
    <x v="2"/>
    <x v="1"/>
    <x v="152"/>
    <x v="16"/>
    <x v="6"/>
    <n v="1252000"/>
    <n v="1"/>
    <x v="7"/>
    <x v="0"/>
  </r>
  <r>
    <x v="17"/>
    <s v="Cedro"/>
    <n v="11"/>
    <x v="0"/>
    <x v="2"/>
    <x v="153"/>
    <x v="6"/>
    <x v="2"/>
    <n v="189625"/>
    <n v="0.5"/>
    <x v="7"/>
    <x v="0"/>
  </r>
  <r>
    <x v="17"/>
    <s v="Cedro"/>
    <n v="11"/>
    <x v="0"/>
    <x v="2"/>
    <x v="153"/>
    <x v="88"/>
    <x v="8"/>
    <n v="189625"/>
    <n v="0.5"/>
    <x v="7"/>
    <x v="0"/>
  </r>
  <r>
    <x v="17"/>
    <s v="Oliveira"/>
    <n v="47"/>
    <x v="0"/>
    <x v="2"/>
    <x v="153"/>
    <x v="134"/>
    <x v="4"/>
    <n v="553707"/>
    <n v="1"/>
    <x v="7"/>
    <x v="0"/>
  </r>
  <r>
    <x v="0"/>
    <s v="Buriti"/>
    <n v="97"/>
    <x v="0"/>
    <x v="0"/>
    <x v="153"/>
    <x v="0"/>
    <x v="0"/>
    <n v="200000"/>
    <n v="1"/>
    <x v="7"/>
    <x v="0"/>
  </r>
  <r>
    <x v="12"/>
    <s v="Gallery Offices"/>
    <n v="609"/>
    <x v="0"/>
    <x v="0"/>
    <x v="153"/>
    <x v="76"/>
    <x v="8"/>
    <n v="400000"/>
    <n v="1"/>
    <x v="7"/>
    <x v="0"/>
  </r>
  <r>
    <x v="17"/>
    <s v="Cedro"/>
    <n v="25"/>
    <x v="0"/>
    <x v="2"/>
    <x v="154"/>
    <x v="65"/>
    <x v="2"/>
    <n v="381800"/>
    <n v="1"/>
    <x v="7"/>
    <x v="0"/>
  </r>
  <r>
    <x v="3"/>
    <s v="Class Varanda Mariana"/>
    <n v="41"/>
    <x v="0"/>
    <x v="0"/>
    <x v="154"/>
    <x v="50"/>
    <x v="9"/>
    <n v="265300"/>
    <n v="0.5"/>
    <x v="7"/>
    <x v="0"/>
  </r>
  <r>
    <x v="3"/>
    <s v="Class Varanda Mariana"/>
    <n v="41"/>
    <x v="0"/>
    <x v="0"/>
    <x v="154"/>
    <x v="72"/>
    <x v="9"/>
    <n v="265300"/>
    <n v="0.5"/>
    <x v="7"/>
    <x v="0"/>
  </r>
  <r>
    <x v="12"/>
    <s v="Gallery Offices"/>
    <n v="905"/>
    <x v="0"/>
    <x v="0"/>
    <x v="154"/>
    <x v="40"/>
    <x v="0"/>
    <n v="424052"/>
    <n v="1"/>
    <x v="7"/>
    <x v="0"/>
  </r>
  <r>
    <x v="0"/>
    <s v="Acácia"/>
    <n v="116"/>
    <x v="0"/>
    <x v="0"/>
    <x v="155"/>
    <x v="147"/>
    <x v="3"/>
    <n v="250000"/>
    <n v="1"/>
    <x v="7"/>
    <x v="0"/>
  </r>
  <r>
    <x v="9"/>
    <s v="Host Paraíso"/>
    <n v="614"/>
    <x v="2"/>
    <x v="1"/>
    <x v="155"/>
    <x v="16"/>
    <x v="6"/>
    <n v="424796.27"/>
    <n v="1"/>
    <x v="7"/>
    <x v="0"/>
  </r>
  <r>
    <x v="4"/>
    <s v="Tons da Villa"/>
    <n v="96"/>
    <x v="1"/>
    <x v="0"/>
    <x v="155"/>
    <x v="8"/>
    <x v="5"/>
    <n v="361600"/>
    <n v="1"/>
    <x v="7"/>
    <x v="0"/>
  </r>
  <r>
    <x v="19"/>
    <s v="Villa Varanda"/>
    <s v="00009A"/>
    <x v="0"/>
    <x v="0"/>
    <x v="155"/>
    <x v="149"/>
    <x v="9"/>
    <n v="436000"/>
    <n v="1"/>
    <x v="7"/>
    <x v="0"/>
  </r>
  <r>
    <x v="17"/>
    <s v="Oliveira"/>
    <n v="77"/>
    <x v="1"/>
    <x v="2"/>
    <x v="155"/>
    <x v="8"/>
    <x v="5"/>
    <n v="561263.79"/>
    <n v="1"/>
    <x v="7"/>
    <x v="0"/>
  </r>
  <r>
    <x v="17"/>
    <s v="Cedro"/>
    <n v="31"/>
    <x v="0"/>
    <x v="2"/>
    <x v="156"/>
    <x v="64"/>
    <x v="1"/>
    <n v="337500"/>
    <n v="1"/>
    <x v="7"/>
    <x v="0"/>
  </r>
  <r>
    <x v="17"/>
    <s v="Cedro"/>
    <n v="43"/>
    <x v="0"/>
    <x v="2"/>
    <x v="156"/>
    <x v="47"/>
    <x v="2"/>
    <n v="219650"/>
    <n v="0.5"/>
    <x v="7"/>
    <x v="0"/>
  </r>
  <r>
    <x v="17"/>
    <s v="Cedro"/>
    <n v="43"/>
    <x v="0"/>
    <x v="2"/>
    <x v="156"/>
    <x v="70"/>
    <x v="2"/>
    <n v="219650"/>
    <n v="0.5"/>
    <x v="7"/>
    <x v="0"/>
  </r>
  <r>
    <x v="17"/>
    <s v="Cedro"/>
    <n v="47"/>
    <x v="0"/>
    <x v="2"/>
    <x v="156"/>
    <x v="112"/>
    <x v="2"/>
    <n v="502255"/>
    <n v="1"/>
    <x v="7"/>
    <x v="0"/>
  </r>
  <r>
    <x v="17"/>
    <s v="Oliveira"/>
    <n v="57"/>
    <x v="0"/>
    <x v="2"/>
    <x v="156"/>
    <x v="131"/>
    <x v="0"/>
    <n v="490899.45"/>
    <n v="1"/>
    <x v="7"/>
    <x v="0"/>
  </r>
  <r>
    <x v="0"/>
    <s v="Acácia"/>
    <n v="156"/>
    <x v="0"/>
    <x v="0"/>
    <x v="156"/>
    <x v="0"/>
    <x v="0"/>
    <n v="250000"/>
    <n v="1"/>
    <x v="7"/>
    <x v="0"/>
  </r>
  <r>
    <x v="1"/>
    <s v="Amizade"/>
    <n v="163"/>
    <x v="0"/>
    <x v="0"/>
    <x v="156"/>
    <x v="17"/>
    <x v="8"/>
    <n v="255000"/>
    <n v="1"/>
    <x v="7"/>
    <x v="0"/>
  </r>
  <r>
    <x v="17"/>
    <s v="Cedro"/>
    <n v="51"/>
    <x v="0"/>
    <x v="2"/>
    <x v="157"/>
    <x v="112"/>
    <x v="2"/>
    <n v="387900"/>
    <n v="1"/>
    <x v="8"/>
    <x v="0"/>
  </r>
  <r>
    <x v="20"/>
    <s v="Belle Ville"/>
    <n v="94"/>
    <x v="2"/>
    <x v="1"/>
    <x v="157"/>
    <x v="16"/>
    <x v="6"/>
    <n v="710714.37"/>
    <n v="1"/>
    <x v="8"/>
    <x v="0"/>
  </r>
  <r>
    <x v="1"/>
    <s v="Felicidade"/>
    <n v="178"/>
    <x v="0"/>
    <x v="0"/>
    <x v="158"/>
    <x v="2"/>
    <x v="2"/>
    <n v="256500"/>
    <n v="1"/>
    <x v="8"/>
    <x v="0"/>
  </r>
  <r>
    <x v="21"/>
    <s v="Topazio"/>
    <n v="171"/>
    <x v="1"/>
    <x v="0"/>
    <x v="158"/>
    <x v="10"/>
    <x v="5"/>
    <n v="860000"/>
    <n v="1"/>
    <x v="8"/>
    <x v="0"/>
  </r>
  <r>
    <x v="16"/>
    <s v="Cosmopolitan High Garden"/>
    <n v="505"/>
    <x v="0"/>
    <x v="2"/>
    <x v="159"/>
    <x v="50"/>
    <x v="9"/>
    <n v="609100"/>
    <n v="1"/>
    <x v="8"/>
    <x v="0"/>
  </r>
  <r>
    <x v="17"/>
    <s v="Oliveira"/>
    <n v="21"/>
    <x v="0"/>
    <x v="2"/>
    <x v="160"/>
    <x v="121"/>
    <x v="1"/>
    <n v="373000"/>
    <n v="1"/>
    <x v="8"/>
    <x v="0"/>
  </r>
  <r>
    <x v="17"/>
    <s v="Oliveira"/>
    <n v="28"/>
    <x v="0"/>
    <x v="2"/>
    <x v="160"/>
    <x v="121"/>
    <x v="1"/>
    <n v="373000"/>
    <n v="1"/>
    <x v="8"/>
    <x v="0"/>
  </r>
  <r>
    <x v="0"/>
    <s v="Buriti"/>
    <n v="83"/>
    <x v="0"/>
    <x v="0"/>
    <x v="160"/>
    <x v="98"/>
    <x v="1"/>
    <n v="206945.2"/>
    <n v="1"/>
    <x v="8"/>
    <x v="0"/>
  </r>
  <r>
    <x v="17"/>
    <s v="Cedro"/>
    <n v="46"/>
    <x v="1"/>
    <x v="2"/>
    <x v="161"/>
    <x v="8"/>
    <x v="5"/>
    <n v="430390.06"/>
    <n v="1"/>
    <x v="8"/>
    <x v="0"/>
  </r>
  <r>
    <x v="12"/>
    <s v="Gallery Offices"/>
    <n v="402"/>
    <x v="1"/>
    <x v="0"/>
    <x v="162"/>
    <x v="10"/>
    <x v="5"/>
    <n v="400000"/>
    <n v="1"/>
    <x v="8"/>
    <x v="0"/>
  </r>
  <r>
    <x v="7"/>
    <s v="Amarilis"/>
    <n v="22"/>
    <x v="0"/>
    <x v="0"/>
    <x v="163"/>
    <x v="20"/>
    <x v="8"/>
    <n v="840000"/>
    <n v="1"/>
    <x v="8"/>
    <x v="0"/>
  </r>
  <r>
    <x v="4"/>
    <s v="Tons da Villa"/>
    <n v="42"/>
    <x v="0"/>
    <x v="0"/>
    <x v="163"/>
    <x v="150"/>
    <x v="0"/>
    <n v="340000"/>
    <n v="1"/>
    <x v="8"/>
    <x v="0"/>
  </r>
  <r>
    <x v="4"/>
    <s v="Tons da Villa"/>
    <n v="47"/>
    <x v="0"/>
    <x v="0"/>
    <x v="163"/>
    <x v="110"/>
    <x v="4"/>
    <n v="340000"/>
    <n v="1"/>
    <x v="8"/>
    <x v="0"/>
  </r>
  <r>
    <x v="3"/>
    <s v="Class Varanda Mariana"/>
    <n v="102"/>
    <x v="0"/>
    <x v="0"/>
    <x v="164"/>
    <x v="21"/>
    <x v="2"/>
    <n v="725973.53"/>
    <n v="1"/>
    <x v="8"/>
    <x v="0"/>
  </r>
  <r>
    <x v="22"/>
    <s v="Olive"/>
    <n v="273"/>
    <x v="1"/>
    <x v="0"/>
    <x v="165"/>
    <x v="10"/>
    <x v="5"/>
    <n v="1150000"/>
    <n v="0.5"/>
    <x v="8"/>
    <x v="0"/>
  </r>
  <r>
    <x v="22"/>
    <s v="Olive"/>
    <n v="273"/>
    <x v="1"/>
    <x v="0"/>
    <x v="165"/>
    <x v="8"/>
    <x v="5"/>
    <n v="1150000"/>
    <n v="0.5"/>
    <x v="8"/>
    <x v="0"/>
  </r>
  <r>
    <x v="4"/>
    <s v="Tons da Villa"/>
    <n v="66"/>
    <x v="0"/>
    <x v="0"/>
    <x v="165"/>
    <x v="28"/>
    <x v="2"/>
    <n v="372100"/>
    <n v="1"/>
    <x v="8"/>
    <x v="0"/>
  </r>
  <r>
    <x v="17"/>
    <s v="Cedro"/>
    <n v="88"/>
    <x v="0"/>
    <x v="2"/>
    <x v="166"/>
    <x v="112"/>
    <x v="2"/>
    <n v="390400"/>
    <n v="1"/>
    <x v="8"/>
    <x v="0"/>
  </r>
  <r>
    <x v="17"/>
    <s v="Oliveira"/>
    <n v="35"/>
    <x v="0"/>
    <x v="2"/>
    <x v="167"/>
    <x v="117"/>
    <x v="8"/>
    <n v="378800"/>
    <n v="1"/>
    <x v="8"/>
    <x v="0"/>
  </r>
  <r>
    <x v="0"/>
    <s v="Buriti"/>
    <n v="93"/>
    <x v="0"/>
    <x v="0"/>
    <x v="167"/>
    <x v="0"/>
    <x v="0"/>
    <n v="195000"/>
    <n v="1"/>
    <x v="8"/>
    <x v="0"/>
  </r>
  <r>
    <x v="10"/>
    <s v="Piazza Suprema"/>
    <n v="142"/>
    <x v="0"/>
    <x v="0"/>
    <x v="168"/>
    <x v="82"/>
    <x v="2"/>
    <n v="2130000"/>
    <n v="1"/>
    <x v="8"/>
    <x v="0"/>
  </r>
  <r>
    <x v="17"/>
    <s v="Cedro"/>
    <n v="76"/>
    <x v="0"/>
    <x v="2"/>
    <x v="168"/>
    <x v="129"/>
    <x v="2"/>
    <n v="545648.89"/>
    <n v="1"/>
    <x v="8"/>
    <x v="0"/>
  </r>
  <r>
    <x v="1"/>
    <s v="Amizade"/>
    <n v="46"/>
    <x v="0"/>
    <x v="0"/>
    <x v="169"/>
    <x v="107"/>
    <x v="1"/>
    <n v="324950"/>
    <n v="1"/>
    <x v="8"/>
    <x v="0"/>
  </r>
  <r>
    <x v="16"/>
    <s v="Cosmopolitan High Garden"/>
    <n v="2615"/>
    <x v="0"/>
    <x v="2"/>
    <x v="170"/>
    <x v="38"/>
    <x v="2"/>
    <n v="358073.52"/>
    <n v="1"/>
    <x v="8"/>
    <x v="0"/>
  </r>
  <r>
    <x v="0"/>
    <s v="Acácia"/>
    <n v="162"/>
    <x v="0"/>
    <x v="0"/>
    <x v="171"/>
    <x v="32"/>
    <x v="0"/>
    <n v="250000"/>
    <n v="1"/>
    <x v="8"/>
    <x v="0"/>
  </r>
  <r>
    <x v="17"/>
    <s v="Cedro"/>
    <n v="87"/>
    <x v="0"/>
    <x v="2"/>
    <x v="171"/>
    <x v="112"/>
    <x v="2"/>
    <n v="528080"/>
    <n v="1"/>
    <x v="8"/>
    <x v="0"/>
  </r>
  <r>
    <x v="11"/>
    <s v="Decor Paraíso"/>
    <n v="121"/>
    <x v="0"/>
    <x v="0"/>
    <x v="172"/>
    <x v="53"/>
    <x v="4"/>
    <n v="520000"/>
    <n v="1"/>
    <x v="8"/>
    <x v="0"/>
  </r>
  <r>
    <x v="1"/>
    <s v="Amizade"/>
    <n v="193"/>
    <x v="0"/>
    <x v="0"/>
    <x v="173"/>
    <x v="107"/>
    <x v="1"/>
    <n v="285000"/>
    <n v="1"/>
    <x v="8"/>
    <x v="0"/>
  </r>
  <r>
    <x v="1"/>
    <s v="Amizade"/>
    <n v="198"/>
    <x v="0"/>
    <x v="0"/>
    <x v="173"/>
    <x v="107"/>
    <x v="1"/>
    <n v="285000"/>
    <n v="1"/>
    <x v="8"/>
    <x v="0"/>
  </r>
  <r>
    <x v="4"/>
    <s v="Tons da Villa"/>
    <n v="103"/>
    <x v="0"/>
    <x v="0"/>
    <x v="173"/>
    <x v="150"/>
    <x v="0"/>
    <n v="371626"/>
    <n v="1"/>
    <x v="8"/>
    <x v="0"/>
  </r>
  <r>
    <x v="17"/>
    <s v="Cedro"/>
    <n v="63"/>
    <x v="0"/>
    <x v="2"/>
    <x v="174"/>
    <x v="151"/>
    <x v="4"/>
    <n v="258930"/>
    <n v="0.5"/>
    <x v="8"/>
    <x v="0"/>
  </r>
  <r>
    <x v="17"/>
    <s v="Cedro"/>
    <n v="63"/>
    <x v="0"/>
    <x v="2"/>
    <x v="174"/>
    <x v="35"/>
    <x v="4"/>
    <n v="258930"/>
    <n v="0.5"/>
    <x v="8"/>
    <x v="0"/>
  </r>
  <r>
    <x v="3"/>
    <s v="Vaga Extra"/>
    <s v="0050G"/>
    <x v="0"/>
    <x v="0"/>
    <x v="174"/>
    <x v="60"/>
    <x v="4"/>
    <n v="36296"/>
    <n v="1"/>
    <x v="8"/>
    <x v="0"/>
  </r>
  <r>
    <x v="11"/>
    <s v="Decor Paraíso"/>
    <n v="11"/>
    <x v="0"/>
    <x v="0"/>
    <x v="175"/>
    <x v="22"/>
    <x v="8"/>
    <n v="505600"/>
    <n v="1"/>
    <x v="9"/>
    <x v="0"/>
  </r>
  <r>
    <x v="0"/>
    <s v="Acácia"/>
    <n v="175"/>
    <x v="0"/>
    <x v="0"/>
    <x v="175"/>
    <x v="152"/>
    <x v="2"/>
    <n v="246600"/>
    <n v="1"/>
    <x v="9"/>
    <x v="0"/>
  </r>
  <r>
    <x v="15"/>
    <s v="Estilo Jardins"/>
    <n v="601"/>
    <x v="1"/>
    <x v="0"/>
    <x v="175"/>
    <x v="8"/>
    <x v="5"/>
    <n v="587000"/>
    <n v="1"/>
    <x v="9"/>
    <x v="0"/>
  </r>
  <r>
    <x v="1"/>
    <s v="Felicidade"/>
    <n v="28"/>
    <x v="0"/>
    <x v="0"/>
    <x v="176"/>
    <x v="136"/>
    <x v="4"/>
    <n v="242428.34"/>
    <n v="1"/>
    <x v="9"/>
    <x v="0"/>
  </r>
  <r>
    <x v="9"/>
    <s v="Host Paraíso"/>
    <n v="502"/>
    <x v="2"/>
    <x v="1"/>
    <x v="176"/>
    <x v="16"/>
    <x v="6"/>
    <n v="535100.18999999994"/>
    <n v="1"/>
    <x v="9"/>
    <x v="0"/>
  </r>
  <r>
    <x v="11"/>
    <s v="Decor Paraíso"/>
    <n v="51"/>
    <x v="1"/>
    <x v="0"/>
    <x v="177"/>
    <x v="8"/>
    <x v="5"/>
    <n v="485000"/>
    <n v="1"/>
    <x v="9"/>
    <x v="0"/>
  </r>
  <r>
    <x v="14"/>
    <s v="Ares do Parque Aclimação"/>
    <n v="152"/>
    <x v="0"/>
    <x v="0"/>
    <x v="178"/>
    <x v="61"/>
    <x v="1"/>
    <n v="2210000"/>
    <n v="1"/>
    <x v="9"/>
    <x v="0"/>
  </r>
  <r>
    <x v="17"/>
    <s v="Oliveira"/>
    <n v="43"/>
    <x v="0"/>
    <x v="2"/>
    <x v="179"/>
    <x v="130"/>
    <x v="0"/>
    <n v="245088.17"/>
    <n v="0.5"/>
    <x v="9"/>
    <x v="0"/>
  </r>
  <r>
    <x v="17"/>
    <s v="Oliveira"/>
    <n v="43"/>
    <x v="0"/>
    <x v="2"/>
    <x v="179"/>
    <x v="32"/>
    <x v="0"/>
    <n v="245088.18"/>
    <n v="0.5"/>
    <x v="9"/>
    <x v="0"/>
  </r>
  <r>
    <x v="4"/>
    <s v="Tons da Villa"/>
    <n v="24"/>
    <x v="0"/>
    <x v="0"/>
    <x v="180"/>
    <x v="150"/>
    <x v="0"/>
    <n v="376480"/>
    <n v="1"/>
    <x v="9"/>
    <x v="0"/>
  </r>
  <r>
    <x v="12"/>
    <s v="Gallery Offices"/>
    <n v="105"/>
    <x v="1"/>
    <x v="0"/>
    <x v="180"/>
    <x v="153"/>
    <x v="5"/>
    <n v="199486.61"/>
    <n v="0.5"/>
    <x v="9"/>
    <x v="0"/>
  </r>
  <r>
    <x v="12"/>
    <s v="Gallery Offices"/>
    <n v="105"/>
    <x v="1"/>
    <x v="0"/>
    <x v="180"/>
    <x v="8"/>
    <x v="5"/>
    <n v="199486.6"/>
    <n v="0.5"/>
    <x v="9"/>
    <x v="0"/>
  </r>
  <r>
    <x v="12"/>
    <s v="Gallery Offices"/>
    <n v="106"/>
    <x v="1"/>
    <x v="0"/>
    <x v="180"/>
    <x v="153"/>
    <x v="5"/>
    <n v="199486.61"/>
    <n v="0.5"/>
    <x v="9"/>
    <x v="0"/>
  </r>
  <r>
    <x v="12"/>
    <s v="Gallery Offices"/>
    <n v="106"/>
    <x v="1"/>
    <x v="0"/>
    <x v="180"/>
    <x v="8"/>
    <x v="5"/>
    <n v="199486.6"/>
    <n v="0.5"/>
    <x v="9"/>
    <x v="0"/>
  </r>
  <r>
    <x v="12"/>
    <s v="Gallery Offices"/>
    <n v="107"/>
    <x v="1"/>
    <x v="0"/>
    <x v="180"/>
    <x v="153"/>
    <x v="5"/>
    <n v="211622.19"/>
    <n v="0.5"/>
    <x v="9"/>
    <x v="0"/>
  </r>
  <r>
    <x v="12"/>
    <s v="Gallery Offices"/>
    <n v="107"/>
    <x v="1"/>
    <x v="0"/>
    <x v="180"/>
    <x v="8"/>
    <x v="5"/>
    <n v="211622.18"/>
    <n v="0.5"/>
    <x v="9"/>
    <x v="0"/>
  </r>
  <r>
    <x v="0"/>
    <s v="Buriti"/>
    <n v="155"/>
    <x v="0"/>
    <x v="0"/>
    <x v="180"/>
    <x v="98"/>
    <x v="1"/>
    <n v="264600"/>
    <n v="1"/>
    <x v="9"/>
    <x v="0"/>
  </r>
  <r>
    <x v="1"/>
    <s v="Amizade"/>
    <n v="186"/>
    <x v="0"/>
    <x v="0"/>
    <x v="180"/>
    <x v="17"/>
    <x v="8"/>
    <n v="346966.18"/>
    <n v="1"/>
    <x v="9"/>
    <x v="0"/>
  </r>
  <r>
    <x v="12"/>
    <s v="Gallery Offices"/>
    <n v="203"/>
    <x v="1"/>
    <x v="0"/>
    <x v="180"/>
    <x v="153"/>
    <x v="5"/>
    <n v="205788.51"/>
    <n v="0.5"/>
    <x v="9"/>
    <x v="0"/>
  </r>
  <r>
    <x v="12"/>
    <s v="Gallery Offices"/>
    <n v="203"/>
    <x v="1"/>
    <x v="0"/>
    <x v="180"/>
    <x v="8"/>
    <x v="5"/>
    <n v="205788.5"/>
    <n v="0.5"/>
    <x v="9"/>
    <x v="0"/>
  </r>
  <r>
    <x v="12"/>
    <s v="Gallery Offices"/>
    <n v="204"/>
    <x v="1"/>
    <x v="0"/>
    <x v="180"/>
    <x v="153"/>
    <x v="5"/>
    <n v="214894.46"/>
    <n v="0.5"/>
    <x v="9"/>
    <x v="0"/>
  </r>
  <r>
    <x v="12"/>
    <s v="Gallery Offices"/>
    <n v="204"/>
    <x v="1"/>
    <x v="0"/>
    <x v="180"/>
    <x v="8"/>
    <x v="5"/>
    <n v="214894.46"/>
    <n v="0.5"/>
    <x v="9"/>
    <x v="0"/>
  </r>
  <r>
    <x v="12"/>
    <s v="Gallery Offices"/>
    <n v="205"/>
    <x v="1"/>
    <x v="0"/>
    <x v="180"/>
    <x v="153"/>
    <x v="5"/>
    <n v="202571.4"/>
    <n v="0.5"/>
    <x v="9"/>
    <x v="0"/>
  </r>
  <r>
    <x v="12"/>
    <s v="Gallery Offices"/>
    <n v="205"/>
    <x v="1"/>
    <x v="0"/>
    <x v="180"/>
    <x v="8"/>
    <x v="5"/>
    <n v="202571.4"/>
    <n v="0.5"/>
    <x v="9"/>
    <x v="0"/>
  </r>
  <r>
    <x v="12"/>
    <s v="Gallery Offices"/>
    <n v="206"/>
    <x v="1"/>
    <x v="0"/>
    <x v="180"/>
    <x v="153"/>
    <x v="5"/>
    <n v="202571.4"/>
    <n v="0.5"/>
    <x v="9"/>
    <x v="0"/>
  </r>
  <r>
    <x v="12"/>
    <s v="Gallery Offices"/>
    <n v="206"/>
    <x v="1"/>
    <x v="0"/>
    <x v="180"/>
    <x v="8"/>
    <x v="5"/>
    <n v="202571.4"/>
    <n v="0.5"/>
    <x v="9"/>
    <x v="0"/>
  </r>
  <r>
    <x v="12"/>
    <s v="Gallery Offices"/>
    <n v="207"/>
    <x v="1"/>
    <x v="0"/>
    <x v="180"/>
    <x v="153"/>
    <x v="5"/>
    <n v="214894.46"/>
    <n v="0.5"/>
    <x v="9"/>
    <x v="0"/>
  </r>
  <r>
    <x v="12"/>
    <s v="Gallery Offices"/>
    <n v="207"/>
    <x v="1"/>
    <x v="0"/>
    <x v="180"/>
    <x v="8"/>
    <x v="5"/>
    <n v="214894.46"/>
    <n v="0.5"/>
    <x v="9"/>
    <x v="0"/>
  </r>
  <r>
    <x v="12"/>
    <s v="Gallery Offices"/>
    <n v="208"/>
    <x v="1"/>
    <x v="0"/>
    <x v="180"/>
    <x v="153"/>
    <x v="5"/>
    <n v="205788.51"/>
    <n v="0.5"/>
    <x v="9"/>
    <x v="0"/>
  </r>
  <r>
    <x v="12"/>
    <s v="Gallery Offices"/>
    <n v="208"/>
    <x v="1"/>
    <x v="0"/>
    <x v="180"/>
    <x v="8"/>
    <x v="5"/>
    <n v="205788.5"/>
    <n v="0.5"/>
    <x v="9"/>
    <x v="0"/>
  </r>
  <r>
    <x v="12"/>
    <s v="Gallery Offices"/>
    <n v="603"/>
    <x v="1"/>
    <x v="0"/>
    <x v="180"/>
    <x v="153"/>
    <x v="5"/>
    <n v="208922.32"/>
    <n v="0.5"/>
    <x v="9"/>
    <x v="0"/>
  </r>
  <r>
    <x v="12"/>
    <s v="Gallery Offices"/>
    <n v="603"/>
    <x v="1"/>
    <x v="0"/>
    <x v="180"/>
    <x v="8"/>
    <x v="5"/>
    <n v="208922.32"/>
    <n v="0.5"/>
    <x v="9"/>
    <x v="0"/>
  </r>
  <r>
    <x v="12"/>
    <s v="Gallery Offices"/>
    <n v="604"/>
    <x v="1"/>
    <x v="0"/>
    <x v="180"/>
    <x v="153"/>
    <x v="5"/>
    <n v="218167.03"/>
    <n v="0.5"/>
    <x v="9"/>
    <x v="0"/>
  </r>
  <r>
    <x v="12"/>
    <s v="Gallery Offices"/>
    <n v="604"/>
    <x v="1"/>
    <x v="0"/>
    <x v="180"/>
    <x v="8"/>
    <x v="5"/>
    <n v="218167.02"/>
    <n v="0.5"/>
    <x v="9"/>
    <x v="0"/>
  </r>
  <r>
    <x v="12"/>
    <s v="Gallery Offices"/>
    <n v="605"/>
    <x v="1"/>
    <x v="0"/>
    <x v="180"/>
    <x v="153"/>
    <x v="5"/>
    <n v="205656.23"/>
    <n v="0.5"/>
    <x v="9"/>
    <x v="0"/>
  </r>
  <r>
    <x v="12"/>
    <s v="Gallery Offices"/>
    <n v="605"/>
    <x v="1"/>
    <x v="0"/>
    <x v="180"/>
    <x v="8"/>
    <x v="5"/>
    <n v="205656.22"/>
    <n v="0.5"/>
    <x v="9"/>
    <x v="0"/>
  </r>
  <r>
    <x v="12"/>
    <s v="Gallery Offices"/>
    <n v="802"/>
    <x v="1"/>
    <x v="0"/>
    <x v="180"/>
    <x v="153"/>
    <x v="5"/>
    <n v="212056.13"/>
    <n v="0.5"/>
    <x v="9"/>
    <x v="0"/>
  </r>
  <r>
    <x v="12"/>
    <s v="Gallery Offices"/>
    <n v="802"/>
    <x v="1"/>
    <x v="0"/>
    <x v="180"/>
    <x v="8"/>
    <x v="5"/>
    <n v="212056.13"/>
    <n v="0.5"/>
    <x v="9"/>
    <x v="0"/>
  </r>
  <r>
    <x v="12"/>
    <s v="Gallery Offices"/>
    <n v="810"/>
    <x v="1"/>
    <x v="0"/>
    <x v="180"/>
    <x v="153"/>
    <x v="5"/>
    <n v="221439.49"/>
    <n v="0.5"/>
    <x v="9"/>
    <x v="0"/>
  </r>
  <r>
    <x v="12"/>
    <s v="Gallery Offices"/>
    <n v="810"/>
    <x v="1"/>
    <x v="0"/>
    <x v="180"/>
    <x v="8"/>
    <x v="5"/>
    <n v="221439.49"/>
    <n v="0.5"/>
    <x v="9"/>
    <x v="0"/>
  </r>
  <r>
    <x v="12"/>
    <s v="Gallery Offices"/>
    <n v="811"/>
    <x v="1"/>
    <x v="0"/>
    <x v="180"/>
    <x v="153"/>
    <x v="5"/>
    <n v="208741.02"/>
    <n v="0.5"/>
    <x v="9"/>
    <x v="0"/>
  </r>
  <r>
    <x v="12"/>
    <s v="Gallery Offices"/>
    <n v="811"/>
    <x v="1"/>
    <x v="0"/>
    <x v="180"/>
    <x v="8"/>
    <x v="5"/>
    <n v="208741.02"/>
    <n v="0.5"/>
    <x v="9"/>
    <x v="0"/>
  </r>
  <r>
    <x v="12"/>
    <s v="Gallery Offices"/>
    <n v="812"/>
    <x v="1"/>
    <x v="0"/>
    <x v="180"/>
    <x v="153"/>
    <x v="5"/>
    <n v="208741.02"/>
    <n v="0.5"/>
    <x v="9"/>
    <x v="0"/>
  </r>
  <r>
    <x v="12"/>
    <s v="Gallery Offices"/>
    <n v="812"/>
    <x v="1"/>
    <x v="0"/>
    <x v="180"/>
    <x v="8"/>
    <x v="5"/>
    <n v="208741.02"/>
    <n v="0.5"/>
    <x v="9"/>
    <x v="0"/>
  </r>
  <r>
    <x v="23"/>
    <s v="NOW Alto da Boa Vista"/>
    <n v="1313"/>
    <x v="0"/>
    <x v="0"/>
    <x v="180"/>
    <x v="31"/>
    <x v="3"/>
    <n v="295714.84000000003"/>
    <n v="1"/>
    <x v="9"/>
    <x v="0"/>
  </r>
  <r>
    <x v="0"/>
    <s v="Buriti"/>
    <n v="34"/>
    <x v="0"/>
    <x v="0"/>
    <x v="181"/>
    <x v="0"/>
    <x v="0"/>
    <n v="195000"/>
    <n v="1"/>
    <x v="9"/>
    <x v="0"/>
  </r>
  <r>
    <x v="1"/>
    <s v="Felicidade"/>
    <n v="87"/>
    <x v="0"/>
    <x v="0"/>
    <x v="182"/>
    <x v="17"/>
    <x v="8"/>
    <n v="236000"/>
    <n v="1"/>
    <x v="9"/>
    <x v="0"/>
  </r>
  <r>
    <x v="16"/>
    <s v="Cosmopolitan High Garden"/>
    <n v="2108"/>
    <x v="1"/>
    <x v="0"/>
    <x v="183"/>
    <x v="8"/>
    <x v="5"/>
    <n v="241500"/>
    <n v="0.5"/>
    <x v="9"/>
    <x v="0"/>
  </r>
  <r>
    <x v="16"/>
    <s v="Cosmopolitan High Garden"/>
    <n v="2108"/>
    <x v="1"/>
    <x v="0"/>
    <x v="183"/>
    <x v="10"/>
    <x v="5"/>
    <n v="241500"/>
    <n v="0.5"/>
    <x v="9"/>
    <x v="0"/>
  </r>
  <r>
    <x v="9"/>
    <s v="Host Paraíso"/>
    <n v="1611"/>
    <x v="2"/>
    <x v="1"/>
    <x v="184"/>
    <x v="69"/>
    <x v="6"/>
    <n v="406798.99"/>
    <n v="1"/>
    <x v="9"/>
    <x v="0"/>
  </r>
  <r>
    <x v="3"/>
    <s v="Class Varanda Mariana"/>
    <s v="135G"/>
    <x v="0"/>
    <x v="0"/>
    <x v="184"/>
    <x v="22"/>
    <x v="8"/>
    <n v="33500"/>
    <n v="1"/>
    <x v="9"/>
    <x v="0"/>
  </r>
  <r>
    <x v="16"/>
    <s v="Cosmopolitan High Garden"/>
    <n v="405"/>
    <x v="0"/>
    <x v="2"/>
    <x v="185"/>
    <x v="100"/>
    <x v="8"/>
    <n v="615000"/>
    <n v="1"/>
    <x v="9"/>
    <x v="0"/>
  </r>
  <r>
    <x v="9"/>
    <s v="Host Paraíso"/>
    <n v="413"/>
    <x v="2"/>
    <x v="1"/>
    <x v="185"/>
    <x v="69"/>
    <x v="6"/>
    <n v="383601.46"/>
    <n v="1"/>
    <x v="9"/>
    <x v="0"/>
  </r>
  <r>
    <x v="24"/>
    <s v="Station Offices Saúde"/>
    <n v="903"/>
    <x v="0"/>
    <x v="0"/>
    <x v="186"/>
    <x v="154"/>
    <x v="3"/>
    <n v="447836.04"/>
    <n v="1"/>
    <x v="9"/>
    <x v="0"/>
  </r>
  <r>
    <x v="0"/>
    <s v="Acácia"/>
    <n v="52"/>
    <x v="2"/>
    <x v="1"/>
    <x v="187"/>
    <x v="16"/>
    <x v="6"/>
    <n v="244994.17"/>
    <n v="1"/>
    <x v="9"/>
    <x v="0"/>
  </r>
  <r>
    <x v="1"/>
    <s v="Felicidade"/>
    <n v="103"/>
    <x v="0"/>
    <x v="0"/>
    <x v="187"/>
    <x v="17"/>
    <x v="8"/>
    <n v="263216"/>
    <n v="1"/>
    <x v="9"/>
    <x v="0"/>
  </r>
  <r>
    <x v="9"/>
    <s v="Host Paraíso"/>
    <n v="1204"/>
    <x v="2"/>
    <x v="1"/>
    <x v="188"/>
    <x v="69"/>
    <x v="6"/>
    <n v="514865.61"/>
    <n v="1"/>
    <x v="9"/>
    <x v="0"/>
  </r>
  <r>
    <x v="17"/>
    <s v="Cedro"/>
    <n v="15"/>
    <x v="0"/>
    <x v="2"/>
    <x v="189"/>
    <x v="61"/>
    <x v="1"/>
    <n v="363200"/>
    <n v="1"/>
    <x v="9"/>
    <x v="0"/>
  </r>
  <r>
    <x v="12"/>
    <s v="Gallery Offices"/>
    <n v="611"/>
    <x v="0"/>
    <x v="0"/>
    <x v="189"/>
    <x v="155"/>
    <x v="10"/>
    <n v="443277.5"/>
    <n v="1"/>
    <x v="9"/>
    <x v="0"/>
  </r>
  <r>
    <x v="17"/>
    <s v="Oliveira"/>
    <n v="81"/>
    <x v="0"/>
    <x v="2"/>
    <x v="189"/>
    <x v="129"/>
    <x v="2"/>
    <n v="194452"/>
    <n v="0.5"/>
    <x v="9"/>
    <x v="0"/>
  </r>
  <r>
    <x v="17"/>
    <s v="Oliveira"/>
    <n v="81"/>
    <x v="0"/>
    <x v="2"/>
    <x v="189"/>
    <x v="112"/>
    <x v="2"/>
    <n v="194452"/>
    <n v="0.5"/>
    <x v="9"/>
    <x v="0"/>
  </r>
  <r>
    <x v="17"/>
    <s v="Oliveira"/>
    <n v="8"/>
    <x v="0"/>
    <x v="2"/>
    <x v="190"/>
    <x v="115"/>
    <x v="1"/>
    <n v="200500"/>
    <n v="0.5"/>
    <x v="9"/>
    <x v="0"/>
  </r>
  <r>
    <x v="17"/>
    <s v="Oliveira"/>
    <n v="8"/>
    <x v="0"/>
    <x v="2"/>
    <x v="190"/>
    <x v="131"/>
    <x v="0"/>
    <n v="200500"/>
    <n v="0.5"/>
    <x v="9"/>
    <x v="0"/>
  </r>
  <r>
    <x v="17"/>
    <s v="Cedro"/>
    <n v="71"/>
    <x v="0"/>
    <x v="2"/>
    <x v="190"/>
    <x v="48"/>
    <x v="2"/>
    <n v="395330"/>
    <n v="1"/>
    <x v="9"/>
    <x v="0"/>
  </r>
  <r>
    <x v="1"/>
    <s v="Amizade"/>
    <n v="4"/>
    <x v="0"/>
    <x v="0"/>
    <x v="190"/>
    <x v="156"/>
    <x v="3"/>
    <n v="256323.95"/>
    <n v="1"/>
    <x v="9"/>
    <x v="0"/>
  </r>
  <r>
    <x v="17"/>
    <s v="Cedro"/>
    <n v="14"/>
    <x v="0"/>
    <x v="2"/>
    <x v="191"/>
    <x v="60"/>
    <x v="4"/>
    <n v="327700"/>
    <n v="1"/>
    <x v="9"/>
    <x v="0"/>
  </r>
  <r>
    <x v="16"/>
    <s v="Cosmopolitan High Garden"/>
    <n v="512"/>
    <x v="1"/>
    <x v="2"/>
    <x v="192"/>
    <x v="10"/>
    <x v="5"/>
    <n v="541000"/>
    <n v="1"/>
    <x v="9"/>
    <x v="0"/>
  </r>
  <r>
    <x v="17"/>
    <s v="Cedro"/>
    <n v="35"/>
    <x v="0"/>
    <x v="2"/>
    <x v="192"/>
    <x v="130"/>
    <x v="0"/>
    <n v="361900"/>
    <n v="1"/>
    <x v="9"/>
    <x v="0"/>
  </r>
  <r>
    <x v="16"/>
    <s v="Cosmopolitan High Garden"/>
    <n v="2308"/>
    <x v="0"/>
    <x v="2"/>
    <x v="192"/>
    <x v="124"/>
    <x v="10"/>
    <n v="506811.9"/>
    <n v="1"/>
    <x v="9"/>
    <x v="0"/>
  </r>
  <r>
    <x v="0"/>
    <s v="Flamboyant"/>
    <n v="51"/>
    <x v="0"/>
    <x v="0"/>
    <x v="192"/>
    <x v="0"/>
    <x v="0"/>
    <n v="252000"/>
    <n v="1"/>
    <x v="9"/>
    <x v="0"/>
  </r>
  <r>
    <x v="3"/>
    <s v="Class Varanda Mariana"/>
    <n v="74"/>
    <x v="0"/>
    <x v="0"/>
    <x v="192"/>
    <x v="18"/>
    <x v="4"/>
    <n v="521780"/>
    <n v="1"/>
    <x v="9"/>
    <x v="0"/>
  </r>
  <r>
    <x v="14"/>
    <s v="Ares do Parque Aclimação"/>
    <n v="132"/>
    <x v="0"/>
    <x v="0"/>
    <x v="192"/>
    <x v="157"/>
    <x v="2"/>
    <n v="2379000"/>
    <n v="1"/>
    <x v="9"/>
    <x v="0"/>
  </r>
  <r>
    <x v="9"/>
    <s v="Host Paraíso"/>
    <n v="407"/>
    <x v="2"/>
    <x v="1"/>
    <x v="192"/>
    <x v="16"/>
    <x v="6"/>
    <n v="557491.18999999994"/>
    <n v="1"/>
    <x v="9"/>
    <x v="0"/>
  </r>
  <r>
    <x v="24"/>
    <s v="Station Offices Saúde"/>
    <n v="904"/>
    <x v="0"/>
    <x v="0"/>
    <x v="192"/>
    <x v="154"/>
    <x v="3"/>
    <n v="440275.72"/>
    <n v="1"/>
    <x v="9"/>
    <x v="0"/>
  </r>
  <r>
    <x v="0"/>
    <s v="BURITI"/>
    <n v="83"/>
    <x v="0"/>
    <x v="0"/>
    <x v="193"/>
    <x v="147"/>
    <x v="3"/>
    <n v="206000"/>
    <n v="1"/>
    <x v="10"/>
    <x v="0"/>
  </r>
  <r>
    <x v="0"/>
    <s v="Buriti"/>
    <n v="114"/>
    <x v="0"/>
    <x v="0"/>
    <x v="194"/>
    <x v="98"/>
    <x v="1"/>
    <n v="106000"/>
    <n v="0.5"/>
    <x v="10"/>
    <x v="0"/>
  </r>
  <r>
    <x v="0"/>
    <s v="Buriti"/>
    <n v="114"/>
    <x v="0"/>
    <x v="0"/>
    <x v="194"/>
    <x v="0"/>
    <x v="0"/>
    <n v="106000"/>
    <n v="0.5"/>
    <x v="10"/>
    <x v="0"/>
  </r>
  <r>
    <x v="0"/>
    <s v="Acácia"/>
    <n v="136"/>
    <x v="0"/>
    <x v="0"/>
    <x v="194"/>
    <x v="147"/>
    <x v="3"/>
    <n v="248000"/>
    <n v="1"/>
    <x v="10"/>
    <x v="0"/>
  </r>
  <r>
    <x v="13"/>
    <s v="New Station Vila Clementino"/>
    <n v="606"/>
    <x v="1"/>
    <x v="0"/>
    <x v="194"/>
    <x v="8"/>
    <x v="5"/>
    <n v="466250"/>
    <n v="1"/>
    <x v="10"/>
    <x v="0"/>
  </r>
  <r>
    <x v="3"/>
    <s v="Class Varanda Mariana"/>
    <n v="67"/>
    <x v="0"/>
    <x v="0"/>
    <x v="195"/>
    <x v="27"/>
    <x v="2"/>
    <n v="680000"/>
    <n v="1"/>
    <x v="10"/>
    <x v="0"/>
  </r>
  <r>
    <x v="3"/>
    <s v="Class Varanda Mariana"/>
    <n v="95"/>
    <x v="0"/>
    <x v="0"/>
    <x v="195"/>
    <x v="158"/>
    <x v="1"/>
    <n v="522799"/>
    <n v="1"/>
    <x v="10"/>
    <x v="0"/>
  </r>
  <r>
    <x v="3"/>
    <s v="Vaga Extra"/>
    <s v="131P"/>
    <x v="0"/>
    <x v="0"/>
    <x v="195"/>
    <x v="158"/>
    <x v="1"/>
    <n v="29873"/>
    <n v="1"/>
    <x v="10"/>
    <x v="0"/>
  </r>
  <r>
    <x v="17"/>
    <s v="Oliveira"/>
    <n v="53"/>
    <x v="0"/>
    <x v="2"/>
    <x v="196"/>
    <x v="112"/>
    <x v="2"/>
    <n v="466048.07"/>
    <n v="1"/>
    <x v="10"/>
    <x v="0"/>
  </r>
  <r>
    <x v="25"/>
    <s v="Origens Lapa"/>
    <n v="61"/>
    <x v="0"/>
    <x v="2"/>
    <x v="196"/>
    <x v="112"/>
    <x v="2"/>
    <n v="576600"/>
    <n v="1"/>
    <x v="10"/>
    <x v="0"/>
  </r>
  <r>
    <x v="25"/>
    <s v="Origens Lapa"/>
    <n v="74"/>
    <x v="0"/>
    <x v="2"/>
    <x v="196"/>
    <x v="100"/>
    <x v="8"/>
    <n v="420000"/>
    <n v="1"/>
    <x v="10"/>
    <x v="0"/>
  </r>
  <r>
    <x v="16"/>
    <s v="Cosmopolitan High Garden"/>
    <n v="2205"/>
    <x v="0"/>
    <x v="2"/>
    <x v="197"/>
    <x v="32"/>
    <x v="0"/>
    <n v="716309.23"/>
    <n v="1"/>
    <x v="10"/>
    <x v="0"/>
  </r>
  <r>
    <x v="25"/>
    <s v="Laços da Lapa"/>
    <n v="112"/>
    <x v="0"/>
    <x v="2"/>
    <x v="197"/>
    <x v="117"/>
    <x v="8"/>
    <n v="589000"/>
    <n v="1"/>
    <x v="10"/>
    <x v="0"/>
  </r>
  <r>
    <x v="17"/>
    <s v="Oliveira"/>
    <n v="62"/>
    <x v="0"/>
    <x v="2"/>
    <x v="198"/>
    <x v="119"/>
    <x v="2"/>
    <n v="547681.62"/>
    <n v="1"/>
    <x v="10"/>
    <x v="0"/>
  </r>
  <r>
    <x v="0"/>
    <s v="Acácia"/>
    <n v="3"/>
    <x v="0"/>
    <x v="0"/>
    <x v="198"/>
    <x v="98"/>
    <x v="1"/>
    <n v="190000"/>
    <n v="1"/>
    <x v="10"/>
    <x v="0"/>
  </r>
  <r>
    <x v="9"/>
    <s v="Host Paraíso"/>
    <n v="402"/>
    <x v="2"/>
    <x v="1"/>
    <x v="198"/>
    <x v="16"/>
    <x v="6"/>
    <n v="582200"/>
    <n v="1"/>
    <x v="10"/>
    <x v="0"/>
  </r>
  <r>
    <x v="17"/>
    <s v="Oliveira"/>
    <n v="72"/>
    <x v="0"/>
    <x v="2"/>
    <x v="199"/>
    <x v="112"/>
    <x v="2"/>
    <n v="274100"/>
    <n v="0.5"/>
    <x v="10"/>
    <x v="0"/>
  </r>
  <r>
    <x v="17"/>
    <s v="Oliveira"/>
    <n v="72"/>
    <x v="0"/>
    <x v="2"/>
    <x v="199"/>
    <x v="119"/>
    <x v="2"/>
    <n v="274100"/>
    <n v="0.5"/>
    <x v="10"/>
    <x v="0"/>
  </r>
  <r>
    <x v="25"/>
    <s v="Laços da Lapa"/>
    <n v="36"/>
    <x v="0"/>
    <x v="2"/>
    <x v="199"/>
    <x v="159"/>
    <x v="0"/>
    <n v="443431"/>
    <n v="1"/>
    <x v="10"/>
    <x v="0"/>
  </r>
  <r>
    <x v="25"/>
    <s v="Origens Lapa"/>
    <n v="56"/>
    <x v="0"/>
    <x v="2"/>
    <x v="199"/>
    <x v="160"/>
    <x v="8"/>
    <n v="238775.5"/>
    <n v="0.5"/>
    <x v="10"/>
    <x v="0"/>
  </r>
  <r>
    <x v="25"/>
    <s v="Origens Lapa"/>
    <n v="56"/>
    <x v="0"/>
    <x v="2"/>
    <x v="199"/>
    <x v="105"/>
    <x v="8"/>
    <n v="238775.5"/>
    <n v="0.5"/>
    <x v="10"/>
    <x v="0"/>
  </r>
  <r>
    <x v="25"/>
    <s v="Origens Lapa"/>
    <n v="185"/>
    <x v="0"/>
    <x v="2"/>
    <x v="199"/>
    <x v="4"/>
    <x v="3"/>
    <n v="506646.17"/>
    <n v="1"/>
    <x v="10"/>
    <x v="0"/>
  </r>
  <r>
    <x v="3"/>
    <s v="Class Varanda Mariana"/>
    <n v="83"/>
    <x v="0"/>
    <x v="0"/>
    <x v="199"/>
    <x v="53"/>
    <x v="4"/>
    <n v="727800"/>
    <n v="1"/>
    <x v="10"/>
    <x v="0"/>
  </r>
  <r>
    <x v="17"/>
    <s v="Oliveira "/>
    <n v="7"/>
    <x v="0"/>
    <x v="2"/>
    <x v="200"/>
    <x v="161"/>
    <x v="0"/>
    <n v="495000"/>
    <n v="1"/>
    <x v="10"/>
    <x v="0"/>
  </r>
  <r>
    <x v="17"/>
    <s v="Oliveira "/>
    <n v="44"/>
    <x v="0"/>
    <x v="2"/>
    <x v="200"/>
    <x v="129"/>
    <x v="2"/>
    <n v="394000"/>
    <n v="1"/>
    <x v="10"/>
    <x v="0"/>
  </r>
  <r>
    <x v="16"/>
    <s v="Cosmopolitan High Garden"/>
    <n v="2405"/>
    <x v="0"/>
    <x v="2"/>
    <x v="200"/>
    <x v="5"/>
    <x v="1"/>
    <n v="717000"/>
    <n v="1"/>
    <x v="10"/>
    <x v="0"/>
  </r>
  <r>
    <x v="0"/>
    <s v="Acácia"/>
    <n v="106"/>
    <x v="0"/>
    <x v="2"/>
    <x v="200"/>
    <x v="98"/>
    <x v="1"/>
    <n v="264000"/>
    <n v="1"/>
    <x v="10"/>
    <x v="0"/>
  </r>
  <r>
    <x v="25"/>
    <s v="Origens Lapa"/>
    <n v="21"/>
    <x v="0"/>
    <x v="2"/>
    <x v="200"/>
    <x v="162"/>
    <x v="2"/>
    <n v="315418.52"/>
    <n v="0.5"/>
    <x v="10"/>
    <x v="0"/>
  </r>
  <r>
    <x v="25"/>
    <s v="Origens Lapa"/>
    <n v="21"/>
    <x v="1"/>
    <x v="2"/>
    <x v="200"/>
    <x v="11"/>
    <x v="5"/>
    <n v="315418.52"/>
    <n v="0.5"/>
    <x v="10"/>
    <x v="0"/>
  </r>
  <r>
    <x v="25"/>
    <s v="Origens Lapa"/>
    <n v="96"/>
    <x v="1"/>
    <x v="2"/>
    <x v="200"/>
    <x v="8"/>
    <x v="5"/>
    <n v="487294.81"/>
    <n v="1"/>
    <x v="10"/>
    <x v="0"/>
  </r>
  <r>
    <x v="25"/>
    <s v="Laços da Lapa"/>
    <n v="72"/>
    <x v="0"/>
    <x v="2"/>
    <x v="200"/>
    <x v="163"/>
    <x v="1"/>
    <n v="621036.80000000005"/>
    <n v="1"/>
    <x v="10"/>
    <x v="0"/>
  </r>
  <r>
    <x v="25"/>
    <s v="Laços da Lapa"/>
    <n v="74"/>
    <x v="0"/>
    <x v="2"/>
    <x v="200"/>
    <x v="164"/>
    <x v="4"/>
    <n v="487273.06"/>
    <n v="1"/>
    <x v="10"/>
    <x v="0"/>
  </r>
  <r>
    <x v="25"/>
    <s v="Laços da Lapa"/>
    <n v="35"/>
    <x v="1"/>
    <x v="2"/>
    <x v="201"/>
    <x v="8"/>
    <x v="5"/>
    <n v="508338.72"/>
    <n v="1"/>
    <x v="10"/>
    <x v="0"/>
  </r>
  <r>
    <x v="3"/>
    <s v="Vaga Extra"/>
    <s v="47G"/>
    <x v="0"/>
    <x v="0"/>
    <x v="201"/>
    <x v="22"/>
    <x v="8"/>
    <n v="36875"/>
    <n v="1"/>
    <x v="10"/>
    <x v="0"/>
  </r>
  <r>
    <x v="17"/>
    <s v="Oliveira"/>
    <n v="54"/>
    <x v="0"/>
    <x v="2"/>
    <x v="202"/>
    <x v="112"/>
    <x v="2"/>
    <n v="377100"/>
    <n v="1"/>
    <x v="10"/>
    <x v="0"/>
  </r>
  <r>
    <x v="0"/>
    <s v="Cambuí"/>
    <n v="143"/>
    <x v="0"/>
    <x v="0"/>
    <x v="202"/>
    <x v="0"/>
    <x v="0"/>
    <n v="210000"/>
    <n v="1"/>
    <x v="10"/>
    <x v="0"/>
  </r>
  <r>
    <x v="26"/>
    <s v="Now Studios Ipiranga"/>
    <n v="118"/>
    <x v="0"/>
    <x v="2"/>
    <x v="202"/>
    <x v="90"/>
    <x v="4"/>
    <n v="229242.69"/>
    <n v="1"/>
    <x v="10"/>
    <x v="0"/>
  </r>
  <r>
    <x v="26"/>
    <s v="Now Studios Ipiranga"/>
    <n v="102"/>
    <x v="0"/>
    <x v="2"/>
    <x v="202"/>
    <x v="90"/>
    <x v="4"/>
    <n v="242052"/>
    <n v="1"/>
    <x v="10"/>
    <x v="0"/>
  </r>
  <r>
    <x v="26"/>
    <s v="Now Studios Ipiranga"/>
    <n v="103"/>
    <x v="0"/>
    <x v="2"/>
    <x v="202"/>
    <x v="90"/>
    <x v="4"/>
    <n v="242053.34"/>
    <n v="1"/>
    <x v="10"/>
    <x v="0"/>
  </r>
  <r>
    <x v="26"/>
    <s v="Now Studios Ipiranga"/>
    <n v="213"/>
    <x v="0"/>
    <x v="2"/>
    <x v="202"/>
    <x v="24"/>
    <x v="0"/>
    <n v="134718.06"/>
    <n v="0.5"/>
    <x v="10"/>
    <x v="0"/>
  </r>
  <r>
    <x v="26"/>
    <s v="Now Studios Ipiranga"/>
    <n v="213"/>
    <x v="0"/>
    <x v="2"/>
    <x v="202"/>
    <x v="25"/>
    <x v="0"/>
    <n v="134718.04999999999"/>
    <n v="0.5"/>
    <x v="10"/>
    <x v="0"/>
  </r>
  <r>
    <x v="26"/>
    <s v="Now Studios Ipiranga"/>
    <n v="403"/>
    <x v="1"/>
    <x v="2"/>
    <x v="202"/>
    <x v="153"/>
    <x v="5"/>
    <n v="243500.06"/>
    <n v="1"/>
    <x v="10"/>
    <x v="0"/>
  </r>
  <r>
    <x v="26"/>
    <s v="Now Studios Ipiranga"/>
    <n v="314"/>
    <x v="0"/>
    <x v="2"/>
    <x v="202"/>
    <x v="24"/>
    <x v="0"/>
    <n v="134718.06"/>
    <n v="0.5"/>
    <x v="10"/>
    <x v="0"/>
  </r>
  <r>
    <x v="26"/>
    <s v="Now Studios Ipiranga"/>
    <n v="314"/>
    <x v="0"/>
    <x v="2"/>
    <x v="202"/>
    <x v="25"/>
    <x v="0"/>
    <n v="134718.04999999999"/>
    <n v="0.5"/>
    <x v="10"/>
    <x v="0"/>
  </r>
  <r>
    <x v="26"/>
    <s v="Now Studios Ipiranga"/>
    <n v="401"/>
    <x v="1"/>
    <x v="2"/>
    <x v="202"/>
    <x v="153"/>
    <x v="5"/>
    <n v="249000.87"/>
    <n v="1"/>
    <x v="10"/>
    <x v="0"/>
  </r>
  <r>
    <x v="26"/>
    <s v="Now Studios Ipiranga"/>
    <n v="504"/>
    <x v="0"/>
    <x v="2"/>
    <x v="202"/>
    <x v="72"/>
    <x v="1"/>
    <n v="128191.14"/>
    <n v="0.5"/>
    <x v="10"/>
    <x v="0"/>
  </r>
  <r>
    <x v="26"/>
    <s v="Now Studios Ipiranga"/>
    <n v="504"/>
    <x v="0"/>
    <x v="2"/>
    <x v="202"/>
    <x v="41"/>
    <x v="10"/>
    <n v="128191.14"/>
    <n v="0.5"/>
    <x v="10"/>
    <x v="0"/>
  </r>
  <r>
    <x v="26"/>
    <s v="Now Studios Ipiranga"/>
    <n v="506"/>
    <x v="0"/>
    <x v="2"/>
    <x v="202"/>
    <x v="39"/>
    <x v="10"/>
    <n v="356978.37"/>
    <n v="1"/>
    <x v="10"/>
    <x v="0"/>
  </r>
  <r>
    <x v="26"/>
    <s v="Now Studios Ipiranga"/>
    <n v="603"/>
    <x v="0"/>
    <x v="2"/>
    <x v="202"/>
    <x v="165"/>
    <x v="11"/>
    <n v="259050"/>
    <n v="1"/>
    <x v="10"/>
    <x v="0"/>
  </r>
  <r>
    <x v="26"/>
    <s v="Now Studios Ipiranga"/>
    <n v="609"/>
    <x v="0"/>
    <x v="2"/>
    <x v="202"/>
    <x v="94"/>
    <x v="3"/>
    <n v="262083.88"/>
    <n v="1"/>
    <x v="10"/>
    <x v="0"/>
  </r>
  <r>
    <x v="26"/>
    <s v="Now Studios Ipiranga"/>
    <n v="613"/>
    <x v="0"/>
    <x v="2"/>
    <x v="202"/>
    <x v="94"/>
    <x v="3"/>
    <n v="262083.88"/>
    <n v="1"/>
    <x v="10"/>
    <x v="0"/>
  </r>
  <r>
    <x v="26"/>
    <s v="Now Studios Ipiranga"/>
    <n v="1011"/>
    <x v="1"/>
    <x v="2"/>
    <x v="202"/>
    <x v="10"/>
    <x v="5"/>
    <n v="400495"/>
    <n v="1"/>
    <x v="10"/>
    <x v="0"/>
  </r>
  <r>
    <x v="3"/>
    <s v="Class Varanda Mariana"/>
    <n v="25"/>
    <x v="0"/>
    <x v="0"/>
    <x v="203"/>
    <x v="159"/>
    <x v="0"/>
    <n v="515800"/>
    <n v="1"/>
    <x v="10"/>
    <x v="0"/>
  </r>
  <r>
    <x v="3"/>
    <s v="Class Varanda Mariana"/>
    <n v="122"/>
    <x v="0"/>
    <x v="0"/>
    <x v="203"/>
    <x v="18"/>
    <x v="4"/>
    <n v="703799.9"/>
    <n v="1"/>
    <x v="10"/>
    <x v="0"/>
  </r>
  <r>
    <x v="26"/>
    <s v="Now Studios Ipiranga"/>
    <n v="312"/>
    <x v="0"/>
    <x v="2"/>
    <x v="203"/>
    <x v="24"/>
    <x v="0"/>
    <n v="111091.55"/>
    <n v="0.5"/>
    <x v="10"/>
    <x v="0"/>
  </r>
  <r>
    <x v="26"/>
    <s v="Now Studios Ipiranga"/>
    <n v="312"/>
    <x v="0"/>
    <x v="2"/>
    <x v="203"/>
    <x v="25"/>
    <x v="0"/>
    <n v="111091.56"/>
    <n v="0.5"/>
    <x v="10"/>
    <x v="0"/>
  </r>
  <r>
    <x v="26"/>
    <s v="Now Studios Ipiranga"/>
    <n v="318"/>
    <x v="0"/>
    <x v="2"/>
    <x v="203"/>
    <x v="24"/>
    <x v="0"/>
    <n v="104682.61"/>
    <n v="0.5"/>
    <x v="10"/>
    <x v="0"/>
  </r>
  <r>
    <x v="26"/>
    <s v="Now Studios Ipiranga"/>
    <n v="318"/>
    <x v="0"/>
    <x v="2"/>
    <x v="203"/>
    <x v="25"/>
    <x v="0"/>
    <n v="104682.6"/>
    <n v="0.5"/>
    <x v="10"/>
    <x v="0"/>
  </r>
  <r>
    <x v="26"/>
    <s v="Now Studios Ipiranga"/>
    <n v="411"/>
    <x v="0"/>
    <x v="2"/>
    <x v="203"/>
    <x v="94"/>
    <x v="3"/>
    <n v="195685.35"/>
    <n v="0.5"/>
    <x v="10"/>
    <x v="0"/>
  </r>
  <r>
    <x v="26"/>
    <s v="Now Studios Ipiranga"/>
    <n v="417"/>
    <x v="0"/>
    <x v="2"/>
    <x v="203"/>
    <x v="166"/>
    <x v="11"/>
    <n v="242900"/>
    <n v="1"/>
    <x v="10"/>
    <x v="0"/>
  </r>
  <r>
    <x v="26"/>
    <s v="Now Studios Ipiranga"/>
    <n v="502"/>
    <x v="0"/>
    <x v="2"/>
    <x v="203"/>
    <x v="14"/>
    <x v="0"/>
    <n v="125349.48"/>
    <n v="0.5"/>
    <x v="10"/>
    <x v="0"/>
  </r>
  <r>
    <x v="26"/>
    <s v="Now Studios Ipiranga"/>
    <n v="502"/>
    <x v="0"/>
    <x v="2"/>
    <x v="203"/>
    <x v="25"/>
    <x v="0"/>
    <n v="125349.48"/>
    <n v="0.5"/>
    <x v="10"/>
    <x v="0"/>
  </r>
  <r>
    <x v="26"/>
    <s v="Now Studios Ipiranga"/>
    <n v="411"/>
    <x v="0"/>
    <x v="2"/>
    <x v="203"/>
    <x v="50"/>
    <x v="3"/>
    <n v="195685.36"/>
    <n v="0.5"/>
    <x v="10"/>
    <x v="0"/>
  </r>
  <r>
    <x v="26"/>
    <s v="Now Studios Ipiranga"/>
    <n v="518"/>
    <x v="0"/>
    <x v="2"/>
    <x v="203"/>
    <x v="17"/>
    <x v="8"/>
    <n v="128727.32"/>
    <n v="0.5"/>
    <x v="10"/>
    <x v="0"/>
  </r>
  <r>
    <x v="26"/>
    <s v="Now Studios Ipiranga"/>
    <n v="518"/>
    <x v="0"/>
    <x v="2"/>
    <x v="203"/>
    <x v="167"/>
    <x v="8"/>
    <n v="128727.32"/>
    <n v="0.5"/>
    <x v="10"/>
    <x v="0"/>
  </r>
  <r>
    <x v="26"/>
    <s v="Now Studios Ipiranga"/>
    <n v="601"/>
    <x v="0"/>
    <x v="2"/>
    <x v="203"/>
    <x v="160"/>
    <x v="8"/>
    <n v="206800"/>
    <n v="1"/>
    <x v="10"/>
    <x v="0"/>
  </r>
  <r>
    <x v="26"/>
    <s v="Now Studios Ipiranga"/>
    <n v="516"/>
    <x v="0"/>
    <x v="2"/>
    <x v="203"/>
    <x v="94"/>
    <x v="3"/>
    <n v="172893.14"/>
    <n v="0.5"/>
    <x v="10"/>
    <x v="0"/>
  </r>
  <r>
    <x v="26"/>
    <s v="Now Studios Ipiranga"/>
    <n v="516"/>
    <x v="0"/>
    <x v="2"/>
    <x v="203"/>
    <x v="96"/>
    <x v="3"/>
    <n v="172893.14"/>
    <n v="0.5"/>
    <x v="10"/>
    <x v="0"/>
  </r>
  <r>
    <x v="26"/>
    <s v="Now Studios Ipiranga"/>
    <n v="604"/>
    <x v="0"/>
    <x v="2"/>
    <x v="203"/>
    <x v="96"/>
    <x v="3"/>
    <n v="130591.43"/>
    <n v="0.5"/>
    <x v="10"/>
    <x v="0"/>
  </r>
  <r>
    <x v="26"/>
    <s v="Now Studios Ipiranga"/>
    <n v="604"/>
    <x v="0"/>
    <x v="2"/>
    <x v="203"/>
    <x v="148"/>
    <x v="3"/>
    <n v="130591.43"/>
    <n v="0.5"/>
    <x v="10"/>
    <x v="0"/>
  </r>
  <r>
    <x v="26"/>
    <s v="Now Studios Ipiranga"/>
    <n v="605"/>
    <x v="0"/>
    <x v="2"/>
    <x v="203"/>
    <x v="94"/>
    <x v="3"/>
    <n v="173630.2"/>
    <n v="0.5"/>
    <x v="10"/>
    <x v="0"/>
  </r>
  <r>
    <x v="26"/>
    <s v="Now Studios Ipiranga"/>
    <n v="605"/>
    <x v="0"/>
    <x v="2"/>
    <x v="203"/>
    <x v="96"/>
    <x v="3"/>
    <n v="173630.2"/>
    <n v="0.5"/>
    <x v="10"/>
    <x v="0"/>
  </r>
  <r>
    <x v="26"/>
    <s v="Now Studios Ipiranga"/>
    <n v="607"/>
    <x v="1"/>
    <x v="2"/>
    <x v="203"/>
    <x v="11"/>
    <x v="5"/>
    <n v="274322.37"/>
    <n v="1"/>
    <x v="10"/>
    <x v="0"/>
  </r>
  <r>
    <x v="26"/>
    <s v="Now Studios Ipiranga"/>
    <n v="619"/>
    <x v="0"/>
    <x v="2"/>
    <x v="203"/>
    <x v="88"/>
    <x v="8"/>
    <n v="206800"/>
    <n v="1"/>
    <x v="10"/>
    <x v="0"/>
  </r>
  <r>
    <x v="26"/>
    <s v="Now Studios Ipiranga"/>
    <n v="617"/>
    <x v="0"/>
    <x v="2"/>
    <x v="203"/>
    <x v="6"/>
    <x v="2"/>
    <n v="259000"/>
    <n v="1"/>
    <x v="10"/>
    <x v="0"/>
  </r>
  <r>
    <x v="26"/>
    <s v="Now Studios Ipiranga"/>
    <n v="715"/>
    <x v="0"/>
    <x v="2"/>
    <x v="203"/>
    <x v="90"/>
    <x v="4"/>
    <n v="365442.26"/>
    <n v="1"/>
    <x v="10"/>
    <x v="0"/>
  </r>
  <r>
    <x v="26"/>
    <s v="Now Studios Ipiranga"/>
    <n v="914"/>
    <x v="0"/>
    <x v="2"/>
    <x v="203"/>
    <x v="167"/>
    <x v="8"/>
    <n v="138900"/>
    <n v="0.5"/>
    <x v="10"/>
    <x v="0"/>
  </r>
  <r>
    <x v="26"/>
    <s v="Now Studios Ipiranga"/>
    <n v="914"/>
    <x v="0"/>
    <x v="2"/>
    <x v="203"/>
    <x v="71"/>
    <x v="8"/>
    <n v="138900"/>
    <n v="0.5"/>
    <x v="10"/>
    <x v="0"/>
  </r>
  <r>
    <x v="26"/>
    <s v="Now Studios Ipiranga"/>
    <n v="1003"/>
    <x v="0"/>
    <x v="2"/>
    <x v="203"/>
    <x v="38"/>
    <x v="2"/>
    <n v="260582.55"/>
    <n v="1"/>
    <x v="10"/>
    <x v="0"/>
  </r>
  <r>
    <x v="26"/>
    <s v="Now Studios Ipiranga"/>
    <n v="1001"/>
    <x v="0"/>
    <x v="2"/>
    <x v="203"/>
    <x v="159"/>
    <x v="0"/>
    <n v="263000.32000000001"/>
    <n v="1"/>
    <x v="10"/>
    <x v="0"/>
  </r>
  <r>
    <x v="26"/>
    <s v="Now Studios Ipiranga"/>
    <n v="1007"/>
    <x v="0"/>
    <x v="2"/>
    <x v="203"/>
    <x v="27"/>
    <x v="2"/>
    <n v="274913.15999999997"/>
    <n v="1"/>
    <x v="10"/>
    <x v="0"/>
  </r>
  <r>
    <x v="26"/>
    <s v="Now Studios Ipiranga"/>
    <n v="1009"/>
    <x v="0"/>
    <x v="2"/>
    <x v="203"/>
    <x v="27"/>
    <x v="2"/>
    <n v="274913.15999999997"/>
    <n v="1"/>
    <x v="10"/>
    <x v="0"/>
  </r>
  <r>
    <x v="26"/>
    <s v="Now Studios Ipiranga"/>
    <n v="1013"/>
    <x v="0"/>
    <x v="2"/>
    <x v="203"/>
    <x v="41"/>
    <x v="1"/>
    <n v="137000"/>
    <n v="0.5"/>
    <x v="10"/>
    <x v="0"/>
  </r>
  <r>
    <x v="26"/>
    <s v="Now Studios Ipiranga"/>
    <n v="1013"/>
    <x v="0"/>
    <x v="2"/>
    <x v="203"/>
    <x v="72"/>
    <x v="10"/>
    <n v="137000"/>
    <n v="0.5"/>
    <x v="10"/>
    <x v="0"/>
  </r>
  <r>
    <x v="26"/>
    <s v="Now Studios Ipiranga"/>
    <n v="1015"/>
    <x v="0"/>
    <x v="2"/>
    <x v="203"/>
    <x v="167"/>
    <x v="8"/>
    <n v="184145"/>
    <n v="0.5"/>
    <x v="10"/>
    <x v="0"/>
  </r>
  <r>
    <x v="26"/>
    <s v="Now Studios Ipiranga"/>
    <n v="1015"/>
    <x v="0"/>
    <x v="2"/>
    <x v="203"/>
    <x v="71"/>
    <x v="8"/>
    <n v="184145"/>
    <n v="0.5"/>
    <x v="10"/>
    <x v="0"/>
  </r>
  <r>
    <x v="26"/>
    <s v="Now Studios Ipiranga"/>
    <n v="1314"/>
    <x v="0"/>
    <x v="2"/>
    <x v="203"/>
    <x v="71"/>
    <x v="8"/>
    <n v="138083.79"/>
    <n v="0.5"/>
    <x v="10"/>
    <x v="0"/>
  </r>
  <r>
    <x v="26"/>
    <s v="Now Studios Ipiranga"/>
    <n v="1314"/>
    <x v="0"/>
    <x v="2"/>
    <x v="203"/>
    <x v="167"/>
    <x v="8"/>
    <n v="138083.79"/>
    <n v="0.5"/>
    <x v="10"/>
    <x v="0"/>
  </r>
  <r>
    <x v="26"/>
    <s v="Now Studios Ipiranga"/>
    <n v="1617"/>
    <x v="0"/>
    <x v="2"/>
    <x v="203"/>
    <x v="61"/>
    <x v="1"/>
    <n v="272403"/>
    <n v="1"/>
    <x v="10"/>
    <x v="0"/>
  </r>
  <r>
    <x v="26"/>
    <s v="Now Studios Ipiranga"/>
    <n v="304"/>
    <x v="0"/>
    <x v="2"/>
    <x v="204"/>
    <x v="125"/>
    <x v="10"/>
    <n v="253892.09"/>
    <n v="1"/>
    <x v="10"/>
    <x v="0"/>
  </r>
  <r>
    <x v="26"/>
    <s v="Now Studios Ipiranga"/>
    <n v="308"/>
    <x v="0"/>
    <x v="2"/>
    <x v="204"/>
    <x v="141"/>
    <x v="0"/>
    <n v="259290.7"/>
    <n v="1"/>
    <x v="10"/>
    <x v="0"/>
  </r>
  <r>
    <x v="26"/>
    <s v="Now Studios Ipiranga"/>
    <n v="413"/>
    <x v="0"/>
    <x v="2"/>
    <x v="204"/>
    <x v="71"/>
    <x v="8"/>
    <n v="134702.6"/>
    <n v="0.5"/>
    <x v="10"/>
    <x v="0"/>
  </r>
  <r>
    <x v="26"/>
    <s v="Now Studios Ipiranga"/>
    <n v="413"/>
    <x v="0"/>
    <x v="2"/>
    <x v="204"/>
    <x v="167"/>
    <x v="8"/>
    <n v="134702.6"/>
    <n v="0.5"/>
    <x v="10"/>
    <x v="0"/>
  </r>
  <r>
    <x v="26"/>
    <s v="Now Studios Ipiranga"/>
    <n v="514"/>
    <x v="0"/>
    <x v="2"/>
    <x v="204"/>
    <x v="168"/>
    <x v="4"/>
    <n v="274322.26"/>
    <n v="1"/>
    <x v="10"/>
    <x v="0"/>
  </r>
  <r>
    <x v="26"/>
    <s v="Now Studios Ipiranga"/>
    <n v="615"/>
    <x v="0"/>
    <x v="2"/>
    <x v="204"/>
    <x v="169"/>
    <x v="4"/>
    <n v="366980"/>
    <n v="1"/>
    <x v="10"/>
    <x v="0"/>
  </r>
  <r>
    <x v="26"/>
    <s v="Now Studios Ipiranga"/>
    <n v="719"/>
    <x v="0"/>
    <x v="2"/>
    <x v="204"/>
    <x v="90"/>
    <x v="4"/>
    <n v="245290"/>
    <n v="1"/>
    <x v="10"/>
    <x v="0"/>
  </r>
  <r>
    <x v="26"/>
    <s v="Now Studios Ipiranga"/>
    <n v="815"/>
    <x v="0"/>
    <x v="2"/>
    <x v="204"/>
    <x v="96"/>
    <x v="3"/>
    <n v="180100"/>
    <n v="0.5"/>
    <x v="10"/>
    <x v="0"/>
  </r>
  <r>
    <x v="26"/>
    <s v="Now Studios Ipiranga"/>
    <n v="815"/>
    <x v="0"/>
    <x v="2"/>
    <x v="204"/>
    <x v="148"/>
    <x v="3"/>
    <n v="180100"/>
    <n v="0.5"/>
    <x v="10"/>
    <x v="0"/>
  </r>
  <r>
    <x v="26"/>
    <s v="Now Studios Ipiranga"/>
    <n v="819"/>
    <x v="0"/>
    <x v="2"/>
    <x v="204"/>
    <x v="170"/>
    <x v="11"/>
    <n v="257600"/>
    <n v="1"/>
    <x v="10"/>
    <x v="0"/>
  </r>
  <r>
    <x v="26"/>
    <s v="Now Studios Ipiranga"/>
    <n v="908"/>
    <x v="0"/>
    <x v="2"/>
    <x v="204"/>
    <x v="60"/>
    <x v="4"/>
    <n v="231380"/>
    <n v="1"/>
    <x v="10"/>
    <x v="0"/>
  </r>
  <r>
    <x v="26"/>
    <s v="Now Studios Ipiranga"/>
    <n v="909"/>
    <x v="0"/>
    <x v="2"/>
    <x v="204"/>
    <x v="60"/>
    <x v="4"/>
    <n v="261740"/>
    <n v="1"/>
    <x v="10"/>
    <x v="0"/>
  </r>
  <r>
    <x v="26"/>
    <s v="Now Studios Ipiranga"/>
    <n v="918"/>
    <x v="0"/>
    <x v="2"/>
    <x v="204"/>
    <x v="60"/>
    <x v="4"/>
    <n v="245450"/>
    <n v="1"/>
    <x v="10"/>
    <x v="0"/>
  </r>
  <r>
    <x v="26"/>
    <s v="Now Studios Ipiranga"/>
    <n v="1017"/>
    <x v="0"/>
    <x v="2"/>
    <x v="204"/>
    <x v="38"/>
    <x v="2"/>
    <n v="260582.55"/>
    <n v="1"/>
    <x v="10"/>
    <x v="0"/>
  </r>
  <r>
    <x v="26"/>
    <s v="Now Studios Ipiranga"/>
    <n v="1019"/>
    <x v="0"/>
    <x v="2"/>
    <x v="204"/>
    <x v="60"/>
    <x v="4"/>
    <n v="260375.73"/>
    <n v="1"/>
    <x v="10"/>
    <x v="0"/>
  </r>
  <r>
    <x v="26"/>
    <s v="Now Studios Ipiranga"/>
    <n v="1112"/>
    <x v="0"/>
    <x v="2"/>
    <x v="204"/>
    <x v="34"/>
    <x v="1"/>
    <n v="280650"/>
    <n v="1"/>
    <x v="10"/>
    <x v="0"/>
  </r>
  <r>
    <x v="26"/>
    <s v="Now Studios Ipiranga"/>
    <n v="1613"/>
    <x v="0"/>
    <x v="2"/>
    <x v="204"/>
    <x v="96"/>
    <x v="3"/>
    <n v="130397.13"/>
    <n v="0.5"/>
    <x v="10"/>
    <x v="0"/>
  </r>
  <r>
    <x v="26"/>
    <s v="Now Studios Ipiranga"/>
    <n v="1613"/>
    <x v="0"/>
    <x v="2"/>
    <x v="204"/>
    <x v="94"/>
    <x v="3"/>
    <n v="130397.13"/>
    <n v="0.5"/>
    <x v="10"/>
    <x v="0"/>
  </r>
  <r>
    <x v="26"/>
    <s v="Now Studios Ipiranga"/>
    <n v="306"/>
    <x v="0"/>
    <x v="2"/>
    <x v="205"/>
    <x v="171"/>
    <x v="10"/>
    <n v="336679.16"/>
    <n v="1"/>
    <x v="10"/>
    <x v="0"/>
  </r>
  <r>
    <x v="26"/>
    <s v="Now Studios Ipiranga"/>
    <n v="419"/>
    <x v="0"/>
    <x v="2"/>
    <x v="205"/>
    <x v="138"/>
    <x v="1"/>
    <n v="235150"/>
    <n v="1"/>
    <x v="10"/>
    <x v="0"/>
  </r>
  <r>
    <x v="26"/>
    <s v="Now Studios Ipiranga"/>
    <n v="508"/>
    <x v="0"/>
    <x v="2"/>
    <x v="205"/>
    <x v="141"/>
    <x v="0"/>
    <n v="260774"/>
    <n v="1"/>
    <x v="10"/>
    <x v="0"/>
  </r>
  <r>
    <x v="26"/>
    <s v="Now Studios Ipiranga"/>
    <n v="902"/>
    <x v="0"/>
    <x v="2"/>
    <x v="205"/>
    <x v="21"/>
    <x v="2"/>
    <n v="131550.41"/>
    <n v="0.5"/>
    <x v="10"/>
    <x v="0"/>
  </r>
  <r>
    <x v="26"/>
    <s v="Now Studios Ipiranga"/>
    <n v="902"/>
    <x v="0"/>
    <x v="2"/>
    <x v="205"/>
    <x v="172"/>
    <x v="1"/>
    <n v="131550.41"/>
    <n v="0.5"/>
    <x v="10"/>
    <x v="0"/>
  </r>
  <r>
    <x v="26"/>
    <s v="Now Studios Ipiranga"/>
    <n v="906"/>
    <x v="0"/>
    <x v="2"/>
    <x v="205"/>
    <x v="173"/>
    <x v="8"/>
    <n v="185975.77"/>
    <n v="0.5"/>
    <x v="10"/>
    <x v="0"/>
  </r>
  <r>
    <x v="26"/>
    <s v="Now Studios Ipiranga"/>
    <n v="906"/>
    <x v="0"/>
    <x v="2"/>
    <x v="205"/>
    <x v="116"/>
    <x v="8"/>
    <n v="185975.77"/>
    <n v="0.5"/>
    <x v="10"/>
    <x v="0"/>
  </r>
  <r>
    <x v="26"/>
    <s v="Now Studios Ipiranga"/>
    <n v="1114"/>
    <x v="0"/>
    <x v="2"/>
    <x v="205"/>
    <x v="34"/>
    <x v="1"/>
    <n v="280650"/>
    <n v="1"/>
    <x v="10"/>
    <x v="0"/>
  </r>
  <r>
    <x v="26"/>
    <s v="Now Studios Ipiranga"/>
    <n v="1512"/>
    <x v="0"/>
    <x v="2"/>
    <x v="205"/>
    <x v="34"/>
    <x v="1"/>
    <n v="280650"/>
    <n v="1"/>
    <x v="10"/>
    <x v="0"/>
  </r>
  <r>
    <x v="26"/>
    <s v="Now Studios Ipiranga"/>
    <n v="1514"/>
    <x v="0"/>
    <x v="2"/>
    <x v="205"/>
    <x v="34"/>
    <x v="1"/>
    <n v="280650"/>
    <n v="1"/>
    <x v="10"/>
    <x v="0"/>
  </r>
  <r>
    <x v="26"/>
    <s v="Now Studios Ipiranga"/>
    <n v="912"/>
    <x v="1"/>
    <x v="2"/>
    <x v="206"/>
    <x v="10"/>
    <x v="5"/>
    <n v="243500"/>
    <n v="1"/>
    <x v="10"/>
    <x v="0"/>
  </r>
  <r>
    <x v="26"/>
    <s v="Now Studios Ipiranga"/>
    <n v="1206"/>
    <x v="0"/>
    <x v="2"/>
    <x v="206"/>
    <x v="87"/>
    <x v="2"/>
    <n v="377222"/>
    <n v="1"/>
    <x v="10"/>
    <x v="0"/>
  </r>
  <r>
    <x v="17"/>
    <s v="Jequitibá"/>
    <n v="3"/>
    <x v="0"/>
    <x v="2"/>
    <x v="207"/>
    <x v="127"/>
    <x v="8"/>
    <n v="469000"/>
    <n v="1"/>
    <x v="10"/>
    <x v="0"/>
  </r>
  <r>
    <x v="0"/>
    <s v="Flamboyant"/>
    <n v="32"/>
    <x v="0"/>
    <x v="0"/>
    <x v="207"/>
    <x v="48"/>
    <x v="2"/>
    <n v="108675"/>
    <n v="0.5"/>
    <x v="10"/>
    <x v="0"/>
  </r>
  <r>
    <x v="0"/>
    <s v="Flamboyant"/>
    <n v="32"/>
    <x v="0"/>
    <x v="0"/>
    <x v="207"/>
    <x v="152"/>
    <x v="2"/>
    <n v="108675"/>
    <n v="0.5"/>
    <x v="10"/>
    <x v="0"/>
  </r>
  <r>
    <x v="26"/>
    <s v="Now Studios Ipiranga"/>
    <n v="207"/>
    <x v="0"/>
    <x v="2"/>
    <x v="207"/>
    <x v="136"/>
    <x v="4"/>
    <n v="258930"/>
    <n v="1"/>
    <x v="10"/>
    <x v="0"/>
  </r>
  <r>
    <x v="26"/>
    <s v="Now Studios Ipiranga"/>
    <n v="108"/>
    <x v="0"/>
    <x v="2"/>
    <x v="207"/>
    <x v="4"/>
    <x v="3"/>
    <n v="256870.37"/>
    <n v="1"/>
    <x v="10"/>
    <x v="0"/>
  </r>
  <r>
    <x v="26"/>
    <s v="Now Studios Ipiranga"/>
    <n v="112"/>
    <x v="0"/>
    <x v="2"/>
    <x v="207"/>
    <x v="136"/>
    <x v="4"/>
    <n v="256864.82"/>
    <n v="1"/>
    <x v="10"/>
    <x v="0"/>
  </r>
  <r>
    <x v="26"/>
    <s v="Now Studios Ipiranga"/>
    <n v="217"/>
    <x v="0"/>
    <x v="2"/>
    <x v="207"/>
    <x v="142"/>
    <x v="2"/>
    <n v="127612"/>
    <n v="0.5"/>
    <x v="10"/>
    <x v="0"/>
  </r>
  <r>
    <x v="26"/>
    <s v="Now Studios Ipiranga"/>
    <n v="217"/>
    <x v="0"/>
    <x v="2"/>
    <x v="207"/>
    <x v="152"/>
    <x v="2"/>
    <n v="127612"/>
    <n v="0.5"/>
    <x v="10"/>
    <x v="0"/>
  </r>
  <r>
    <x v="26"/>
    <s v="Now Studios Ipiranga"/>
    <n v="1201"/>
    <x v="0"/>
    <x v="2"/>
    <x v="207"/>
    <x v="28"/>
    <x v="2"/>
    <n v="267643.14"/>
    <n v="1"/>
    <x v="10"/>
    <x v="0"/>
  </r>
  <r>
    <x v="26"/>
    <s v="Now Studios Ipiranga"/>
    <n v="1217"/>
    <x v="0"/>
    <x v="2"/>
    <x v="207"/>
    <x v="174"/>
    <x v="10"/>
    <n v="268280"/>
    <n v="1"/>
    <x v="10"/>
    <x v="0"/>
  </r>
  <r>
    <x v="26"/>
    <s v="Now Studios Ipiranga"/>
    <n v="1219"/>
    <x v="0"/>
    <x v="2"/>
    <x v="207"/>
    <x v="175"/>
    <x v="10"/>
    <n v="112803"/>
    <n v="0.5"/>
    <x v="10"/>
    <x v="0"/>
  </r>
  <r>
    <x v="26"/>
    <s v="Now Studios Ipiranga"/>
    <n v="1219"/>
    <x v="0"/>
    <x v="2"/>
    <x v="207"/>
    <x v="176"/>
    <x v="10"/>
    <n v="112803"/>
    <n v="0.5"/>
    <x v="10"/>
    <x v="0"/>
  </r>
  <r>
    <x v="26"/>
    <s v="Now Studios Ipiranga"/>
    <n v="1317"/>
    <x v="0"/>
    <x v="2"/>
    <x v="207"/>
    <x v="174"/>
    <x v="10"/>
    <n v="268165"/>
    <n v="1"/>
    <x v="10"/>
    <x v="0"/>
  </r>
  <r>
    <x v="26"/>
    <s v="Now Studios Ipiranga"/>
    <n v="1318"/>
    <x v="0"/>
    <x v="2"/>
    <x v="207"/>
    <x v="174"/>
    <x v="10"/>
    <n v="268165"/>
    <n v="1"/>
    <x v="10"/>
    <x v="0"/>
  </r>
  <r>
    <x v="26"/>
    <s v="Now Studios Ipiranga"/>
    <n v="1411"/>
    <x v="0"/>
    <x v="2"/>
    <x v="207"/>
    <x v="94"/>
    <x v="3"/>
    <n v="210575.67"/>
    <n v="0.5"/>
    <x v="10"/>
    <x v="0"/>
  </r>
  <r>
    <x v="26"/>
    <s v="Now Studios Ipiranga"/>
    <n v="1411"/>
    <x v="0"/>
    <x v="2"/>
    <x v="207"/>
    <x v="96"/>
    <x v="3"/>
    <n v="210575.67"/>
    <n v="0.5"/>
    <x v="10"/>
    <x v="0"/>
  </r>
  <r>
    <x v="16"/>
    <s v="Cosmopolitan High Garden"/>
    <n v="2609"/>
    <x v="0"/>
    <x v="2"/>
    <x v="208"/>
    <x v="140"/>
    <x v="4"/>
    <n v="516500"/>
    <n v="1"/>
    <x v="10"/>
    <x v="0"/>
  </r>
  <r>
    <x v="0"/>
    <s v="Acácia"/>
    <n v="111"/>
    <x v="0"/>
    <x v="0"/>
    <x v="208"/>
    <x v="98"/>
    <x v="1"/>
    <n v="264000"/>
    <n v="1"/>
    <x v="10"/>
    <x v="0"/>
  </r>
  <r>
    <x v="26"/>
    <s v="Now Studios Ipiranga"/>
    <n v="203"/>
    <x v="0"/>
    <x v="2"/>
    <x v="208"/>
    <x v="117"/>
    <x v="8"/>
    <n v="252000"/>
    <n v="1"/>
    <x v="10"/>
    <x v="0"/>
  </r>
  <r>
    <x v="26"/>
    <s v="Now Studios Ipiranga"/>
    <n v="409"/>
    <x v="0"/>
    <x v="2"/>
    <x v="208"/>
    <x v="141"/>
    <x v="0"/>
    <n v="259290.7"/>
    <n v="1"/>
    <x v="10"/>
    <x v="0"/>
  </r>
  <r>
    <x v="26"/>
    <s v="Now Studios Ipiranga"/>
    <n v="1004"/>
    <x v="0"/>
    <x v="2"/>
    <x v="208"/>
    <x v="124"/>
    <x v="10"/>
    <n v="260582.55"/>
    <n v="1"/>
    <x v="10"/>
    <x v="0"/>
  </r>
  <r>
    <x v="26"/>
    <s v="Now Studios Ipiranga"/>
    <n v="1106"/>
    <x v="0"/>
    <x v="2"/>
    <x v="208"/>
    <x v="177"/>
    <x v="11"/>
    <n v="378460.5"/>
    <n v="1"/>
    <x v="10"/>
    <x v="0"/>
  </r>
  <r>
    <x v="26"/>
    <s v="Now Studios Ipiranga"/>
    <n v="1218"/>
    <x v="0"/>
    <x v="2"/>
    <x v="208"/>
    <x v="71"/>
    <x v="8"/>
    <n v="133500"/>
    <n v="1"/>
    <x v="10"/>
    <x v="0"/>
  </r>
  <r>
    <x v="26"/>
    <s v="Now Studios Ipiranga"/>
    <n v="1218"/>
    <x v="0"/>
    <x v="2"/>
    <x v="208"/>
    <x v="167"/>
    <x v="8"/>
    <n v="133500"/>
    <n v="0.5"/>
    <x v="10"/>
    <x v="0"/>
  </r>
  <r>
    <x v="26"/>
    <s v="Now Studios Ipiranga"/>
    <n v="114"/>
    <x v="0"/>
    <x v="2"/>
    <x v="209"/>
    <x v="72"/>
    <x v="10"/>
    <n v="256927"/>
    <n v="0.5"/>
    <x v="10"/>
    <x v="0"/>
  </r>
  <r>
    <x v="26"/>
    <s v="Now Studios Ipiranga"/>
    <n v="114"/>
    <x v="0"/>
    <x v="2"/>
    <x v="209"/>
    <x v="41"/>
    <x v="1"/>
    <n v="256927"/>
    <n v="0.5"/>
    <x v="10"/>
    <x v="0"/>
  </r>
  <r>
    <x v="26"/>
    <s v="Now Studios Ipiranga"/>
    <n v="310"/>
    <x v="1"/>
    <x v="2"/>
    <x v="209"/>
    <x v="10"/>
    <x v="5"/>
    <n v="269436.06"/>
    <n v="1"/>
    <x v="10"/>
    <x v="0"/>
  </r>
  <r>
    <x v="26"/>
    <s v="Now Studios Ipiranga"/>
    <n v="817"/>
    <x v="0"/>
    <x v="2"/>
    <x v="209"/>
    <x v="61"/>
    <x v="1"/>
    <n v="251834"/>
    <n v="1"/>
    <x v="10"/>
    <x v="0"/>
  </r>
  <r>
    <x v="26"/>
    <s v="Now Studios Ipiranga"/>
    <n v="1302"/>
    <x v="0"/>
    <x v="2"/>
    <x v="209"/>
    <x v="71"/>
    <x v="8"/>
    <n v="133850"/>
    <n v="0.5"/>
    <x v="10"/>
    <x v="0"/>
  </r>
  <r>
    <x v="26"/>
    <s v="Now Studios Ipiranga"/>
    <n v="1302"/>
    <x v="0"/>
    <x v="2"/>
    <x v="209"/>
    <x v="167"/>
    <x v="8"/>
    <n v="133850"/>
    <n v="0.5"/>
    <x v="10"/>
    <x v="0"/>
  </r>
  <r>
    <x v="26"/>
    <s v="Now Studios Ipiranga"/>
    <n v="1518"/>
    <x v="0"/>
    <x v="2"/>
    <x v="209"/>
    <x v="72"/>
    <x v="10"/>
    <n v="270140"/>
    <n v="1"/>
    <x v="10"/>
    <x v="0"/>
  </r>
  <r>
    <x v="1"/>
    <s v="Amizade"/>
    <n v="182"/>
    <x v="1"/>
    <x v="0"/>
    <x v="210"/>
    <x v="10"/>
    <x v="5"/>
    <n v="290800"/>
    <n v="1"/>
    <x v="10"/>
    <x v="0"/>
  </r>
  <r>
    <x v="26"/>
    <s v="Now Studios Ipiranga"/>
    <n v="7"/>
    <x v="0"/>
    <x v="2"/>
    <x v="210"/>
    <x v="175"/>
    <x v="10"/>
    <n v="119127"/>
    <n v="0.5"/>
    <x v="10"/>
    <x v="0"/>
  </r>
  <r>
    <x v="26"/>
    <s v="Now Studios Ipiranga"/>
    <n v="7"/>
    <x v="0"/>
    <x v="2"/>
    <x v="210"/>
    <x v="176"/>
    <x v="10"/>
    <n v="119127"/>
    <n v="0.5"/>
    <x v="10"/>
    <x v="0"/>
  </r>
  <r>
    <x v="26"/>
    <s v="Now Studios Ipiranga"/>
    <n v="519"/>
    <x v="0"/>
    <x v="2"/>
    <x v="210"/>
    <x v="14"/>
    <x v="0"/>
    <n v="124353.5"/>
    <n v="0.5"/>
    <x v="10"/>
    <x v="0"/>
  </r>
  <r>
    <x v="26"/>
    <s v="Now Studios Ipiranga"/>
    <n v="519"/>
    <x v="0"/>
    <x v="2"/>
    <x v="210"/>
    <x v="68"/>
    <x v="0"/>
    <n v="124353.5"/>
    <n v="0.5"/>
    <x v="10"/>
    <x v="0"/>
  </r>
  <r>
    <x v="26"/>
    <s v="Now Studios Ipiranga"/>
    <n v="801"/>
    <x v="0"/>
    <x v="2"/>
    <x v="210"/>
    <x v="171"/>
    <x v="10"/>
    <n v="105000"/>
    <n v="0.5"/>
    <x v="10"/>
    <x v="0"/>
  </r>
  <r>
    <x v="26"/>
    <s v="Now Studios Ipiranga"/>
    <n v="801"/>
    <x v="0"/>
    <x v="2"/>
    <x v="210"/>
    <x v="49"/>
    <x v="10"/>
    <n v="105000"/>
    <n v="0.5"/>
    <x v="10"/>
    <x v="0"/>
  </r>
  <r>
    <x v="26"/>
    <s v="Now Studios Ipiranga"/>
    <n v="1103"/>
    <x v="1"/>
    <x v="2"/>
    <x v="210"/>
    <x v="8"/>
    <x v="5"/>
    <n v="267705.09999999998"/>
    <n v="1"/>
    <x v="10"/>
    <x v="0"/>
  </r>
  <r>
    <x v="26"/>
    <s v="Now Studios Ipiranga"/>
    <n v="1203"/>
    <x v="0"/>
    <x v="2"/>
    <x v="210"/>
    <x v="54"/>
    <x v="4"/>
    <n v="267700"/>
    <n v="1"/>
    <x v="10"/>
    <x v="0"/>
  </r>
  <r>
    <x v="26"/>
    <s v="Now Studios Ipiranga"/>
    <n v="1417"/>
    <x v="0"/>
    <x v="2"/>
    <x v="210"/>
    <x v="149"/>
    <x v="2"/>
    <n v="272309.21999999997"/>
    <n v="1"/>
    <x v="10"/>
    <x v="0"/>
  </r>
  <r>
    <x v="26"/>
    <s v="Now Studios Ipiranga"/>
    <n v="1419"/>
    <x v="0"/>
    <x v="2"/>
    <x v="210"/>
    <x v="90"/>
    <x v="4"/>
    <n v="273039"/>
    <n v="1"/>
    <x v="10"/>
    <x v="0"/>
  </r>
  <r>
    <x v="26"/>
    <s v="Now Studios Ipiranga"/>
    <n v="1517"/>
    <x v="0"/>
    <x v="2"/>
    <x v="210"/>
    <x v="125"/>
    <x v="10"/>
    <n v="267000"/>
    <n v="1"/>
    <x v="10"/>
    <x v="0"/>
  </r>
  <r>
    <x v="17"/>
    <s v="Oliveira "/>
    <n v="65"/>
    <x v="0"/>
    <x v="2"/>
    <x v="211"/>
    <x v="117"/>
    <x v="8"/>
    <n v="402316.36"/>
    <n v="1"/>
    <x v="10"/>
    <x v="0"/>
  </r>
  <r>
    <x v="26"/>
    <s v="Now Studios Ipiranga"/>
    <n v="1"/>
    <x v="0"/>
    <x v="2"/>
    <x v="211"/>
    <x v="5"/>
    <x v="1"/>
    <n v="205500"/>
    <n v="1"/>
    <x v="10"/>
    <x v="0"/>
  </r>
  <r>
    <x v="26"/>
    <s v="Now Studios Ipiranga"/>
    <n v="4"/>
    <x v="0"/>
    <x v="2"/>
    <x v="211"/>
    <x v="5"/>
    <x v="1"/>
    <n v="210000"/>
    <n v="1"/>
    <x v="10"/>
    <x v="0"/>
  </r>
  <r>
    <x v="26"/>
    <s v="Now Studios Ipiranga"/>
    <n v="510"/>
    <x v="0"/>
    <x v="2"/>
    <x v="211"/>
    <x v="53"/>
    <x v="4"/>
    <n v="120500"/>
    <n v="0.5"/>
    <x v="10"/>
    <x v="0"/>
  </r>
  <r>
    <x v="26"/>
    <s v="Now Studios Ipiranga"/>
    <n v="510"/>
    <x v="0"/>
    <x v="2"/>
    <x v="211"/>
    <x v="90"/>
    <x v="4"/>
    <n v="120500"/>
    <n v="0.5"/>
    <x v="10"/>
    <x v="0"/>
  </r>
  <r>
    <x v="26"/>
    <s v="Now Studios Ipiranga"/>
    <n v="701"/>
    <x v="0"/>
    <x v="2"/>
    <x v="211"/>
    <x v="2"/>
    <x v="2"/>
    <n v="253500"/>
    <n v="1"/>
    <x v="10"/>
    <x v="0"/>
  </r>
  <r>
    <x v="26"/>
    <s v="Now Studios Ipiranga"/>
    <n v="805"/>
    <x v="0"/>
    <x v="2"/>
    <x v="211"/>
    <x v="168"/>
    <x v="4"/>
    <n v="352502.5"/>
    <n v="1"/>
    <x v="10"/>
    <x v="0"/>
  </r>
  <r>
    <x v="26"/>
    <s v="Now Studios Ipiranga"/>
    <n v="916"/>
    <x v="0"/>
    <x v="2"/>
    <x v="211"/>
    <x v="168"/>
    <x v="4"/>
    <n v="352502.5"/>
    <n v="1"/>
    <x v="10"/>
    <x v="0"/>
  </r>
  <r>
    <x v="26"/>
    <s v="Now Studios Ipiranga"/>
    <n v="1104"/>
    <x v="0"/>
    <x v="2"/>
    <x v="211"/>
    <x v="39"/>
    <x v="10"/>
    <n v="134070.625"/>
    <n v="0.5"/>
    <x v="10"/>
    <x v="0"/>
  </r>
  <r>
    <x v="26"/>
    <s v="Now Studios Ipiranga"/>
    <n v="1104"/>
    <x v="0"/>
    <x v="2"/>
    <x v="211"/>
    <x v="59"/>
    <x v="0"/>
    <n v="134070.625"/>
    <n v="0.5"/>
    <x v="10"/>
    <x v="0"/>
  </r>
  <r>
    <x v="26"/>
    <s v="Now Studios Ipiranga"/>
    <n v="1401"/>
    <x v="1"/>
    <x v="2"/>
    <x v="211"/>
    <x v="153"/>
    <x v="5"/>
    <n v="271220"/>
    <n v="1"/>
    <x v="10"/>
    <x v="0"/>
  </r>
  <r>
    <x v="26"/>
    <s v="Now Studios Ipiranga"/>
    <n v="1502"/>
    <x v="0"/>
    <x v="2"/>
    <x v="211"/>
    <x v="61"/>
    <x v="1"/>
    <n v="225000"/>
    <n v="1"/>
    <x v="10"/>
    <x v="0"/>
  </r>
  <r>
    <x v="26"/>
    <s v="Now Studios Ipiranga"/>
    <n v="1717"/>
    <x v="1"/>
    <x v="2"/>
    <x v="211"/>
    <x v="10"/>
    <x v="5"/>
    <n v="272309.23"/>
    <n v="1"/>
    <x v="10"/>
    <x v="0"/>
  </r>
  <r>
    <x v="26"/>
    <s v="Now Studios Ipiranga"/>
    <n v="1209"/>
    <x v="0"/>
    <x v="2"/>
    <x v="212"/>
    <x v="174"/>
    <x v="10"/>
    <n v="235000"/>
    <n v="1"/>
    <x v="10"/>
    <x v="0"/>
  </r>
  <r>
    <x v="26"/>
    <s v="Now Studios Ipiranga"/>
    <n v="1304"/>
    <x v="0"/>
    <x v="2"/>
    <x v="212"/>
    <x v="61"/>
    <x v="1"/>
    <n v="267300"/>
    <n v="1"/>
    <x v="10"/>
    <x v="0"/>
  </r>
  <r>
    <x v="26"/>
    <s v="Now Studios Ipiranga"/>
    <n v="1504"/>
    <x v="0"/>
    <x v="2"/>
    <x v="212"/>
    <x v="50"/>
    <x v="3"/>
    <n v="272380.5"/>
    <n v="1"/>
    <x v="10"/>
    <x v="0"/>
  </r>
  <r>
    <x v="17"/>
    <s v="Cedro"/>
    <n v="5"/>
    <x v="0"/>
    <x v="2"/>
    <x v="213"/>
    <x v="50"/>
    <x v="3"/>
    <n v="191400"/>
    <n v="0.5"/>
    <x v="10"/>
    <x v="0"/>
  </r>
  <r>
    <x v="17"/>
    <s v="Cedro"/>
    <n v="5"/>
    <x v="0"/>
    <x v="2"/>
    <x v="213"/>
    <x v="4"/>
    <x v="3"/>
    <n v="191400"/>
    <n v="0.5"/>
    <x v="10"/>
    <x v="0"/>
  </r>
  <r>
    <x v="1"/>
    <s v="Felicidade"/>
    <n v="144"/>
    <x v="0"/>
    <x v="0"/>
    <x v="214"/>
    <x v="175"/>
    <x v="10"/>
    <n v="133175"/>
    <n v="0.5"/>
    <x v="10"/>
    <x v="0"/>
  </r>
  <r>
    <x v="1"/>
    <s v="Felicidade"/>
    <n v="144"/>
    <x v="0"/>
    <x v="0"/>
    <x v="214"/>
    <x v="176"/>
    <x v="10"/>
    <n v="133175"/>
    <n v="0.5"/>
    <x v="10"/>
    <x v="0"/>
  </r>
  <r>
    <x v="26"/>
    <s v="Now Studios Ipiranga"/>
    <n v="2"/>
    <x v="0"/>
    <x v="2"/>
    <x v="214"/>
    <x v="45"/>
    <x v="0"/>
    <n v="126945.5"/>
    <n v="0.5"/>
    <x v="10"/>
    <x v="0"/>
  </r>
  <r>
    <x v="26"/>
    <s v="Now Studios Ipiranga"/>
    <n v="2"/>
    <x v="0"/>
    <x v="2"/>
    <x v="214"/>
    <x v="14"/>
    <x v="0"/>
    <n v="126945.5"/>
    <n v="0.5"/>
    <x v="10"/>
    <x v="0"/>
  </r>
  <r>
    <x v="26"/>
    <s v="Now Studios Ipiranga"/>
    <n v="3"/>
    <x v="0"/>
    <x v="2"/>
    <x v="214"/>
    <x v="45"/>
    <x v="0"/>
    <n v="126945.5"/>
    <n v="0.5"/>
    <x v="10"/>
    <x v="0"/>
  </r>
  <r>
    <x v="26"/>
    <s v="Now Studios Ipiranga"/>
    <n v="3"/>
    <x v="0"/>
    <x v="2"/>
    <x v="214"/>
    <x v="14"/>
    <x v="0"/>
    <n v="126945.5"/>
    <n v="0.5"/>
    <x v="10"/>
    <x v="0"/>
  </r>
  <r>
    <x v="26"/>
    <s v="Now Studios Ipiranga"/>
    <n v="418"/>
    <x v="1"/>
    <x v="2"/>
    <x v="214"/>
    <x v="10"/>
    <x v="5"/>
    <n v="210000"/>
    <n v="1"/>
    <x v="10"/>
    <x v="0"/>
  </r>
  <r>
    <x v="26"/>
    <s v="Now Studios Ipiranga"/>
    <n v="803"/>
    <x v="0"/>
    <x v="2"/>
    <x v="214"/>
    <x v="53"/>
    <x v="4"/>
    <n v="130500"/>
    <n v="0.5"/>
    <x v="10"/>
    <x v="0"/>
  </r>
  <r>
    <x v="26"/>
    <s v="Now Studios Ipiranga"/>
    <n v="803"/>
    <x v="0"/>
    <x v="2"/>
    <x v="214"/>
    <x v="168"/>
    <x v="4"/>
    <n v="130500"/>
    <n v="0.5"/>
    <x v="10"/>
    <x v="0"/>
  </r>
  <r>
    <x v="26"/>
    <s v="Now Studios Ipiranga"/>
    <n v="1102"/>
    <x v="0"/>
    <x v="2"/>
    <x v="214"/>
    <x v="167"/>
    <x v="8"/>
    <n v="134318.435"/>
    <n v="0.5"/>
    <x v="10"/>
    <x v="0"/>
  </r>
  <r>
    <x v="26"/>
    <s v="Now Studios Ipiranga"/>
    <n v="1102"/>
    <x v="0"/>
    <x v="2"/>
    <x v="214"/>
    <x v="71"/>
    <x v="8"/>
    <n v="134318.435"/>
    <n v="0.5"/>
    <x v="10"/>
    <x v="0"/>
  </r>
  <r>
    <x v="26"/>
    <s v="Now Studios Ipiranga"/>
    <n v="1213"/>
    <x v="0"/>
    <x v="2"/>
    <x v="214"/>
    <x v="105"/>
    <x v="8"/>
    <n v="279208"/>
    <n v="1"/>
    <x v="10"/>
    <x v="0"/>
  </r>
  <r>
    <x v="26"/>
    <s v="Now Studios Ipiranga"/>
    <n v="1312"/>
    <x v="0"/>
    <x v="2"/>
    <x v="214"/>
    <x v="44"/>
    <x v="8"/>
    <n v="284093.13"/>
    <n v="1"/>
    <x v="10"/>
    <x v="0"/>
  </r>
  <r>
    <x v="26"/>
    <s v="Now Studios Ipiranga"/>
    <n v="1310"/>
    <x v="0"/>
    <x v="2"/>
    <x v="214"/>
    <x v="44"/>
    <x v="8"/>
    <n v="266894"/>
    <n v="1"/>
    <x v="10"/>
    <x v="0"/>
  </r>
  <r>
    <x v="26"/>
    <s v="Now Studios Ipiranga"/>
    <n v="1407"/>
    <x v="1"/>
    <x v="2"/>
    <x v="214"/>
    <x v="11"/>
    <x v="5"/>
    <n v="289647"/>
    <n v="1"/>
    <x v="10"/>
    <x v="0"/>
  </r>
  <r>
    <x v="26"/>
    <s v="Now Studios Ipiranga"/>
    <n v="1403"/>
    <x v="0"/>
    <x v="2"/>
    <x v="214"/>
    <x v="49"/>
    <x v="10"/>
    <n v="263700"/>
    <n v="1"/>
    <x v="10"/>
    <x v="0"/>
  </r>
  <r>
    <x v="26"/>
    <s v="Now Studios Ipiranga"/>
    <n v="1409"/>
    <x v="0"/>
    <x v="2"/>
    <x v="214"/>
    <x v="167"/>
    <x v="8"/>
    <n v="144490.20499999999"/>
    <n v="0.5"/>
    <x v="10"/>
    <x v="0"/>
  </r>
  <r>
    <x v="26"/>
    <s v="Now Studios Ipiranga"/>
    <n v="1409"/>
    <x v="0"/>
    <x v="2"/>
    <x v="214"/>
    <x v="71"/>
    <x v="8"/>
    <n v="144490.20499999999"/>
    <n v="0.5"/>
    <x v="10"/>
    <x v="0"/>
  </r>
  <r>
    <x v="26"/>
    <s v="Now Studios Ipiranga"/>
    <n v="1510"/>
    <x v="1"/>
    <x v="2"/>
    <x v="214"/>
    <x v="153"/>
    <x v="5"/>
    <n v="287234"/>
    <n v="1"/>
    <x v="10"/>
    <x v="0"/>
  </r>
  <r>
    <x v="26"/>
    <s v="Now Studios Ipiranga"/>
    <n v="1619"/>
    <x v="0"/>
    <x v="2"/>
    <x v="214"/>
    <x v="94"/>
    <x v="3"/>
    <n v="136155"/>
    <n v="0.5"/>
    <x v="10"/>
    <x v="0"/>
  </r>
  <r>
    <x v="26"/>
    <s v="Now Studios Ipiranga"/>
    <n v="1619"/>
    <x v="0"/>
    <x v="2"/>
    <x v="214"/>
    <x v="96"/>
    <x v="3"/>
    <n v="136155"/>
    <n v="0.5"/>
    <x v="10"/>
    <x v="0"/>
  </r>
  <r>
    <x v="26"/>
    <s v="Now Studios Ipiranga"/>
    <n v="1702"/>
    <x v="0"/>
    <x v="2"/>
    <x v="214"/>
    <x v="45"/>
    <x v="0"/>
    <n v="136154.45000000001"/>
    <n v="0.5"/>
    <x v="10"/>
    <x v="0"/>
  </r>
  <r>
    <x v="26"/>
    <s v="Now Studios Ipiranga"/>
    <n v="1702"/>
    <x v="0"/>
    <x v="2"/>
    <x v="214"/>
    <x v="14"/>
    <x v="0"/>
    <n v="136154.45000000001"/>
    <n v="0.5"/>
    <x v="10"/>
    <x v="0"/>
  </r>
  <r>
    <x v="26"/>
    <s v="Now Studios Ipiranga"/>
    <n v="1601"/>
    <x v="0"/>
    <x v="2"/>
    <x v="214"/>
    <x v="154"/>
    <x v="3"/>
    <n v="261974.64"/>
    <n v="1"/>
    <x v="10"/>
    <x v="0"/>
  </r>
  <r>
    <x v="26"/>
    <s v="Now Studios Ipiranga"/>
    <n v="1714"/>
    <x v="0"/>
    <x v="2"/>
    <x v="214"/>
    <x v="136"/>
    <x v="4"/>
    <n v="388716.95"/>
    <n v="1"/>
    <x v="10"/>
    <x v="0"/>
  </r>
  <r>
    <x v="26"/>
    <s v="Now Studios Ipiranga"/>
    <n v="1603"/>
    <x v="0"/>
    <x v="2"/>
    <x v="214"/>
    <x v="154"/>
    <x v="3"/>
    <n v="261974.64"/>
    <n v="1"/>
    <x v="10"/>
    <x v="0"/>
  </r>
  <r>
    <x v="26"/>
    <s v="Now Studios Ipiranga"/>
    <n v="1611"/>
    <x v="0"/>
    <x v="2"/>
    <x v="214"/>
    <x v="136"/>
    <x v="4"/>
    <n v="414257.95"/>
    <n v="1"/>
    <x v="10"/>
    <x v="0"/>
  </r>
  <r>
    <x v="4"/>
    <s v="Tons da Villa"/>
    <n v="151"/>
    <x v="0"/>
    <x v="0"/>
    <x v="214"/>
    <x v="110"/>
    <x v="4"/>
    <n v="385000"/>
    <n v="1"/>
    <x v="10"/>
    <x v="0"/>
  </r>
  <r>
    <x v="25"/>
    <s v="Laços da Lapa"/>
    <n v="63"/>
    <x v="0"/>
    <x v="2"/>
    <x v="215"/>
    <x v="178"/>
    <x v="10"/>
    <n v="475100"/>
    <n v="1"/>
    <x v="10"/>
    <x v="0"/>
  </r>
  <r>
    <x v="25"/>
    <s v="Laços da Lapa"/>
    <n v="63"/>
    <x v="0"/>
    <x v="2"/>
    <x v="215"/>
    <x v="178"/>
    <x v="10"/>
    <n v="475100"/>
    <n v="1"/>
    <x v="10"/>
    <x v="0"/>
  </r>
  <r>
    <x v="27"/>
    <s v="Escritório Santana"/>
    <n v="611"/>
    <x v="2"/>
    <x v="1"/>
    <x v="215"/>
    <x v="16"/>
    <x v="6"/>
    <n v="300000"/>
    <n v="1"/>
    <x v="10"/>
    <x v="0"/>
  </r>
  <r>
    <x v="26"/>
    <s v="Now Studios Ipiranga"/>
    <n v="110"/>
    <x v="0"/>
    <x v="2"/>
    <x v="215"/>
    <x v="38"/>
    <x v="2"/>
    <n v="210000"/>
    <n v="1"/>
    <x v="10"/>
    <x v="0"/>
  </r>
  <r>
    <x v="26"/>
    <s v="Now Studios Ipiranga"/>
    <n v="316"/>
    <x v="0"/>
    <x v="2"/>
    <x v="215"/>
    <x v="61"/>
    <x v="1"/>
    <n v="332050"/>
    <n v="1"/>
    <x v="10"/>
    <x v="0"/>
  </r>
  <r>
    <x v="26"/>
    <s v="Now Studios Ipiranga"/>
    <n v="415"/>
    <x v="1"/>
    <x v="2"/>
    <x v="215"/>
    <x v="8"/>
    <x v="5"/>
    <n v="357950"/>
    <n v="1"/>
    <x v="10"/>
    <x v="0"/>
  </r>
  <r>
    <x v="26"/>
    <s v="Now Studios Ipiranga"/>
    <n v="512"/>
    <x v="0"/>
    <x v="2"/>
    <x v="215"/>
    <x v="34"/>
    <x v="1"/>
    <n v="271000"/>
    <n v="1"/>
    <x v="10"/>
    <x v="0"/>
  </r>
  <r>
    <x v="26"/>
    <s v="Now Studios Ipiranga"/>
    <n v="1118"/>
    <x v="0"/>
    <x v="2"/>
    <x v="215"/>
    <x v="72"/>
    <x v="10"/>
    <n v="235800"/>
    <n v="1"/>
    <x v="10"/>
    <x v="0"/>
  </r>
  <r>
    <x v="26"/>
    <s v="Now Studios Ipiranga"/>
    <n v="1308"/>
    <x v="0"/>
    <x v="2"/>
    <x v="215"/>
    <x v="50"/>
    <x v="3"/>
    <n v="137514.13500000001"/>
    <n v="0.5"/>
    <x v="10"/>
    <x v="0"/>
  </r>
  <r>
    <x v="26"/>
    <s v="Now Studios Ipiranga"/>
    <n v="1308"/>
    <x v="0"/>
    <x v="2"/>
    <x v="215"/>
    <x v="179"/>
    <x v="3"/>
    <n v="137514.13500000001"/>
    <n v="0.5"/>
    <x v="10"/>
    <x v="0"/>
  </r>
  <r>
    <x v="26"/>
    <s v="Now Studios Ipiranga"/>
    <n v="1309"/>
    <x v="0"/>
    <x v="2"/>
    <x v="215"/>
    <x v="50"/>
    <x v="3"/>
    <n v="137514.13500000001"/>
    <n v="0.5"/>
    <x v="10"/>
    <x v="0"/>
  </r>
  <r>
    <x v="26"/>
    <s v="Now Studios Ipiranga"/>
    <n v="1309"/>
    <x v="0"/>
    <x v="2"/>
    <x v="215"/>
    <x v="179"/>
    <x v="3"/>
    <n v="137514.13500000001"/>
    <n v="0.5"/>
    <x v="10"/>
    <x v="0"/>
  </r>
  <r>
    <x v="26"/>
    <s v="Now Studios Ipiranga"/>
    <n v="1319"/>
    <x v="0"/>
    <x v="2"/>
    <x v="215"/>
    <x v="72"/>
    <x v="10"/>
    <n v="235800"/>
    <n v="1"/>
    <x v="10"/>
    <x v="0"/>
  </r>
  <r>
    <x v="26"/>
    <s v="Now Studios Ipiranga"/>
    <n v="1704"/>
    <x v="0"/>
    <x v="2"/>
    <x v="215"/>
    <x v="154"/>
    <x v="3"/>
    <n v="261501.69"/>
    <n v="1"/>
    <x v="10"/>
    <x v="0"/>
  </r>
  <r>
    <x v="26"/>
    <s v="Now Studios Ipiranga"/>
    <n v="1712"/>
    <x v="0"/>
    <x v="2"/>
    <x v="215"/>
    <x v="154"/>
    <x v="3"/>
    <n v="278304.23"/>
    <n v="1"/>
    <x v="10"/>
    <x v="0"/>
  </r>
  <r>
    <x v="0"/>
    <s v="Buriti"/>
    <n v="38"/>
    <x v="0"/>
    <x v="2"/>
    <x v="216"/>
    <x v="159"/>
    <x v="0"/>
    <n v="200000"/>
    <n v="1"/>
    <x v="10"/>
    <x v="0"/>
  </r>
  <r>
    <x v="3"/>
    <s v="Class Varanda Mariana"/>
    <n v="116"/>
    <x v="0"/>
    <x v="0"/>
    <x v="216"/>
    <x v="180"/>
    <x v="3"/>
    <n v="690000"/>
    <n v="1"/>
    <x v="10"/>
    <x v="0"/>
  </r>
  <r>
    <x v="26"/>
    <s v="Now Studios Ipiranga"/>
    <n v="201"/>
    <x v="0"/>
    <x v="2"/>
    <x v="216"/>
    <x v="84"/>
    <x v="2"/>
    <n v="124500"/>
    <n v="0.5"/>
    <x v="10"/>
    <x v="0"/>
  </r>
  <r>
    <x v="26"/>
    <s v="Now Studios Ipiranga"/>
    <n v="201"/>
    <x v="0"/>
    <x v="2"/>
    <x v="216"/>
    <x v="109"/>
    <x v="1"/>
    <n v="124500"/>
    <n v="0.5"/>
    <x v="10"/>
    <x v="0"/>
  </r>
  <r>
    <x v="26"/>
    <s v="Now Studios Ipiranga"/>
    <n v="501"/>
    <x v="0"/>
    <x v="2"/>
    <x v="216"/>
    <x v="90"/>
    <x v="4"/>
    <n v="257320"/>
    <n v="1"/>
    <x v="10"/>
    <x v="0"/>
  </r>
  <r>
    <x v="26"/>
    <s v="Now Studios Ipiranga"/>
    <n v="611"/>
    <x v="0"/>
    <x v="2"/>
    <x v="216"/>
    <x v="94"/>
    <x v="3"/>
    <n v="194500"/>
    <n v="0.5"/>
    <x v="10"/>
    <x v="0"/>
  </r>
  <r>
    <x v="26"/>
    <s v="Now Studios Ipiranga"/>
    <n v="611"/>
    <x v="0"/>
    <x v="2"/>
    <x v="216"/>
    <x v="96"/>
    <x v="3"/>
    <n v="194500"/>
    <n v="0.5"/>
    <x v="10"/>
    <x v="0"/>
  </r>
  <r>
    <x v="26"/>
    <s v="Now Studios Ipiranga"/>
    <n v="1005"/>
    <x v="1"/>
    <x v="2"/>
    <x v="216"/>
    <x v="8"/>
    <x v="5"/>
    <n v="351901.93"/>
    <n v="1"/>
    <x v="10"/>
    <x v="0"/>
  </r>
  <r>
    <x v="26"/>
    <s v="Now Studios Ipiranga"/>
    <n v="1110"/>
    <x v="0"/>
    <x v="2"/>
    <x v="216"/>
    <x v="49"/>
    <x v="8"/>
    <n v="284094.36"/>
    <n v="1"/>
    <x v="10"/>
    <x v="0"/>
  </r>
  <r>
    <x v="26"/>
    <s v="Now Studios Ipiranga"/>
    <n v="1615"/>
    <x v="0"/>
    <x v="2"/>
    <x v="216"/>
    <x v="61"/>
    <x v="1"/>
    <n v="342250"/>
    <n v="1"/>
    <x v="10"/>
    <x v="0"/>
  </r>
  <r>
    <x v="26"/>
    <s v="Now Studios Ipiranga"/>
    <n v="105"/>
    <x v="0"/>
    <x v="2"/>
    <x v="217"/>
    <x v="6"/>
    <x v="2"/>
    <n v="280646"/>
    <n v="1"/>
    <x v="10"/>
    <x v="0"/>
  </r>
  <r>
    <x v="26"/>
    <s v="Now Studios Ipiranga"/>
    <n v="5"/>
    <x v="0"/>
    <x v="2"/>
    <x v="217"/>
    <x v="72"/>
    <x v="10"/>
    <n v="329460"/>
    <n v="1"/>
    <x v="10"/>
    <x v="0"/>
  </r>
  <r>
    <x v="26"/>
    <s v="Now Studios Ipiranga"/>
    <n v="813"/>
    <x v="0"/>
    <x v="2"/>
    <x v="217"/>
    <x v="72"/>
    <x v="10"/>
    <n v="267450"/>
    <n v="1"/>
    <x v="10"/>
    <x v="0"/>
  </r>
  <r>
    <x v="26"/>
    <s v="Now Studios Ipiranga"/>
    <n v="1604"/>
    <x v="0"/>
    <x v="2"/>
    <x v="217"/>
    <x v="50"/>
    <x v="3"/>
    <n v="265807.2"/>
    <n v="1"/>
    <x v="10"/>
    <x v="0"/>
  </r>
  <r>
    <x v="26"/>
    <s v="Now Studios Ipiranga"/>
    <n v="1719"/>
    <x v="0"/>
    <x v="2"/>
    <x v="217"/>
    <x v="90"/>
    <x v="4"/>
    <n v="137097.5"/>
    <n v="0.5"/>
    <x v="10"/>
    <x v="0"/>
  </r>
  <r>
    <x v="26"/>
    <s v="Now Studios Ipiranga"/>
    <n v="1719"/>
    <x v="0"/>
    <x v="2"/>
    <x v="217"/>
    <x v="60"/>
    <x v="4"/>
    <n v="137097.5"/>
    <n v="0.5"/>
    <x v="10"/>
    <x v="0"/>
  </r>
  <r>
    <x v="17"/>
    <s v="Oliveira "/>
    <n v="34"/>
    <x v="0"/>
    <x v="2"/>
    <x v="218"/>
    <x v="127"/>
    <x v="8"/>
    <n v="386000"/>
    <n v="1"/>
    <x v="10"/>
    <x v="0"/>
  </r>
  <r>
    <x v="11"/>
    <s v="Única"/>
    <n v="145"/>
    <x v="0"/>
    <x v="0"/>
    <x v="218"/>
    <x v="61"/>
    <x v="1"/>
    <n v="900000"/>
    <n v="1"/>
    <x v="10"/>
    <x v="0"/>
  </r>
  <r>
    <x v="26"/>
    <s v="Now Studios Ipiranga"/>
    <n v="219"/>
    <x v="0"/>
    <x v="2"/>
    <x v="218"/>
    <x v="2"/>
    <x v="2"/>
    <n v="242622"/>
    <n v="1"/>
    <x v="10"/>
    <x v="0"/>
  </r>
  <r>
    <x v="26"/>
    <s v="Now Studios Ipiranga"/>
    <n v="610"/>
    <x v="0"/>
    <x v="2"/>
    <x v="218"/>
    <x v="14"/>
    <x v="0"/>
    <n v="271486.77"/>
    <n v="1"/>
    <x v="10"/>
    <x v="0"/>
  </r>
  <r>
    <x v="26"/>
    <s v="Now Studios Ipiranga"/>
    <n v="1402"/>
    <x v="0"/>
    <x v="2"/>
    <x v="218"/>
    <x v="157"/>
    <x v="2"/>
    <n v="273200"/>
    <n v="1"/>
    <x v="10"/>
    <x v="0"/>
  </r>
  <r>
    <x v="0"/>
    <s v="Acácia"/>
    <n v="153"/>
    <x v="0"/>
    <x v="0"/>
    <x v="219"/>
    <x v="147"/>
    <x v="3"/>
    <n v="200000"/>
    <n v="1"/>
    <x v="10"/>
    <x v="0"/>
  </r>
  <r>
    <x v="25"/>
    <s v="Laços da Lapa"/>
    <n v="61"/>
    <x v="0"/>
    <x v="2"/>
    <x v="219"/>
    <x v="88"/>
    <x v="8"/>
    <n v="309463.99"/>
    <n v="0.5"/>
    <x v="10"/>
    <x v="0"/>
  </r>
  <r>
    <x v="25"/>
    <s v="Laços da Lapa"/>
    <n v="61"/>
    <x v="0"/>
    <x v="2"/>
    <x v="219"/>
    <x v="181"/>
    <x v="8"/>
    <n v="309463.99"/>
    <n v="0.5"/>
    <x v="10"/>
    <x v="0"/>
  </r>
  <r>
    <x v="12"/>
    <s v="Gallery Offices"/>
    <n v="1110"/>
    <x v="0"/>
    <x v="0"/>
    <x v="219"/>
    <x v="40"/>
    <x v="0"/>
    <n v="444500"/>
    <n v="1"/>
    <x v="10"/>
    <x v="0"/>
  </r>
  <r>
    <x v="12"/>
    <s v="Gallery Offices"/>
    <n v="1111"/>
    <x v="0"/>
    <x v="0"/>
    <x v="219"/>
    <x v="40"/>
    <x v="0"/>
    <n v="418500"/>
    <n v="1"/>
    <x v="10"/>
    <x v="0"/>
  </r>
  <r>
    <x v="4"/>
    <s v="Tons da Villa"/>
    <n v="65"/>
    <x v="0"/>
    <x v="0"/>
    <x v="219"/>
    <x v="180"/>
    <x v="3"/>
    <n v="365000"/>
    <n v="1"/>
    <x v="10"/>
    <x v="0"/>
  </r>
  <r>
    <x v="25"/>
    <s v="Origens Lapa"/>
    <n v="35"/>
    <x v="0"/>
    <x v="2"/>
    <x v="220"/>
    <x v="167"/>
    <x v="8"/>
    <n v="238350"/>
    <n v="0.5"/>
    <x v="10"/>
    <x v="0"/>
  </r>
  <r>
    <x v="25"/>
    <s v="Origens Lapa"/>
    <n v="35"/>
    <x v="0"/>
    <x v="2"/>
    <x v="220"/>
    <x v="71"/>
    <x v="8"/>
    <n v="238350"/>
    <n v="0.5"/>
    <x v="10"/>
    <x v="0"/>
  </r>
  <r>
    <x v="25"/>
    <s v="Laços da Lapa"/>
    <n v="41"/>
    <x v="0"/>
    <x v="2"/>
    <x v="220"/>
    <x v="151"/>
    <x v="4"/>
    <n v="273550"/>
    <n v="0.5"/>
    <x v="10"/>
    <x v="0"/>
  </r>
  <r>
    <x v="25"/>
    <s v="Laços da Lapa"/>
    <n v="41"/>
    <x v="0"/>
    <x v="2"/>
    <x v="220"/>
    <x v="35"/>
    <x v="4"/>
    <n v="273550"/>
    <n v="0.5"/>
    <x v="10"/>
    <x v="0"/>
  </r>
  <r>
    <x v="25"/>
    <s v="Origens Lapa"/>
    <n v="121"/>
    <x v="0"/>
    <x v="2"/>
    <x v="220"/>
    <x v="83"/>
    <x v="1"/>
    <n v="326239.5"/>
    <n v="0.5"/>
    <x v="10"/>
    <x v="0"/>
  </r>
  <r>
    <x v="25"/>
    <s v="Origens Lapa"/>
    <n v="121"/>
    <x v="0"/>
    <x v="2"/>
    <x v="220"/>
    <x v="61"/>
    <x v="1"/>
    <n v="326239.5"/>
    <n v="0.5"/>
    <x v="10"/>
    <x v="0"/>
  </r>
  <r>
    <x v="26"/>
    <s v="Now Studios Ipiranga"/>
    <n v="406"/>
    <x v="0"/>
    <x v="2"/>
    <x v="220"/>
    <x v="100"/>
    <x v="8"/>
    <n v="345000"/>
    <n v="1"/>
    <x v="10"/>
    <x v="0"/>
  </r>
  <r>
    <x v="26"/>
    <s v="Now Studios Ipiranga"/>
    <n v="511"/>
    <x v="0"/>
    <x v="2"/>
    <x v="220"/>
    <x v="14"/>
    <x v="0"/>
    <n v="396764"/>
    <n v="1"/>
    <x v="10"/>
    <x v="0"/>
  </r>
  <r>
    <x v="26"/>
    <s v="Now Studios Ipiranga"/>
    <n v="515"/>
    <x v="0"/>
    <x v="2"/>
    <x v="220"/>
    <x v="94"/>
    <x v="3"/>
    <n v="182721.13"/>
    <n v="0.5"/>
    <x v="10"/>
    <x v="0"/>
  </r>
  <r>
    <x v="26"/>
    <s v="Now Studios Ipiranga"/>
    <n v="515"/>
    <x v="0"/>
    <x v="2"/>
    <x v="220"/>
    <x v="96"/>
    <x v="3"/>
    <n v="182721.13"/>
    <n v="0.5"/>
    <x v="10"/>
    <x v="0"/>
  </r>
  <r>
    <x v="26"/>
    <s v="Now Studios Ipiranga"/>
    <n v="1006"/>
    <x v="0"/>
    <x v="2"/>
    <x v="220"/>
    <x v="82"/>
    <x v="2"/>
    <n v="352750"/>
    <n v="1"/>
    <x v="10"/>
    <x v="0"/>
  </r>
  <r>
    <x v="26"/>
    <s v="Now Studios Ipiranga"/>
    <n v="1116"/>
    <x v="0"/>
    <x v="2"/>
    <x v="220"/>
    <x v="108"/>
    <x v="4"/>
    <n v="178232.09"/>
    <n v="0.5"/>
    <x v="10"/>
    <x v="0"/>
  </r>
  <r>
    <x v="26"/>
    <s v="Now Studios Ipiranga"/>
    <n v="1116"/>
    <x v="0"/>
    <x v="2"/>
    <x v="220"/>
    <x v="109"/>
    <x v="1"/>
    <n v="178232.09"/>
    <n v="0.5"/>
    <x v="10"/>
    <x v="0"/>
  </r>
  <r>
    <x v="26"/>
    <s v="Now Studios Ipiranga"/>
    <n v="1205"/>
    <x v="0"/>
    <x v="2"/>
    <x v="220"/>
    <x v="21"/>
    <x v="2"/>
    <n v="178740.52"/>
    <n v="0.5"/>
    <x v="10"/>
    <x v="0"/>
  </r>
  <r>
    <x v="26"/>
    <s v="Now Studios Ipiranga"/>
    <n v="1205"/>
    <x v="0"/>
    <x v="2"/>
    <x v="220"/>
    <x v="38"/>
    <x v="2"/>
    <n v="178740.52"/>
    <n v="0.5"/>
    <x v="10"/>
    <x v="0"/>
  </r>
  <r>
    <x v="26"/>
    <s v="Now Studios Ipiranga"/>
    <n v="1306"/>
    <x v="0"/>
    <x v="2"/>
    <x v="220"/>
    <x v="2"/>
    <x v="2"/>
    <n v="330300"/>
    <n v="1"/>
    <x v="10"/>
    <x v="0"/>
  </r>
  <r>
    <x v="26"/>
    <s v="Now Studios Ipiranga"/>
    <n v="1311"/>
    <x v="0"/>
    <x v="2"/>
    <x v="220"/>
    <x v="182"/>
    <x v="11"/>
    <n v="396923.84"/>
    <n v="1"/>
    <x v="10"/>
    <x v="0"/>
  </r>
  <r>
    <x v="26"/>
    <s v="Now Studios Ipiranga"/>
    <n v="1405"/>
    <x v="0"/>
    <x v="2"/>
    <x v="220"/>
    <x v="108"/>
    <x v="4"/>
    <n v="178314"/>
    <n v="0.5"/>
    <x v="10"/>
    <x v="0"/>
  </r>
  <r>
    <x v="26"/>
    <s v="Now Studios Ipiranga"/>
    <n v="1405"/>
    <x v="0"/>
    <x v="2"/>
    <x v="220"/>
    <x v="109"/>
    <x v="1"/>
    <n v="178314"/>
    <n v="0.5"/>
    <x v="10"/>
    <x v="0"/>
  </r>
  <r>
    <x v="26"/>
    <s v="Now Studios Ipiranga"/>
    <n v="1410"/>
    <x v="0"/>
    <x v="2"/>
    <x v="220"/>
    <x v="84"/>
    <x v="2"/>
    <n v="131591"/>
    <n v="0.5"/>
    <x v="10"/>
    <x v="0"/>
  </r>
  <r>
    <x v="26"/>
    <s v="Now Studios Ipiranga"/>
    <n v="1410"/>
    <x v="0"/>
    <x v="2"/>
    <x v="220"/>
    <x v="109"/>
    <x v="1"/>
    <n v="131591"/>
    <n v="0.5"/>
    <x v="10"/>
    <x v="0"/>
  </r>
  <r>
    <x v="26"/>
    <s v="Now Studios Ipiranga"/>
    <n v="1414"/>
    <x v="1"/>
    <x v="2"/>
    <x v="220"/>
    <x v="8"/>
    <x v="5"/>
    <n v="238299.91"/>
    <n v="1"/>
    <x v="10"/>
    <x v="0"/>
  </r>
  <r>
    <x v="26"/>
    <s v="Now Studios Ipiranga"/>
    <n v="1513"/>
    <x v="0"/>
    <x v="2"/>
    <x v="220"/>
    <x v="76"/>
    <x v="8"/>
    <n v="144490.27499999999"/>
    <n v="0.5"/>
    <x v="10"/>
    <x v="0"/>
  </r>
  <r>
    <x v="26"/>
    <s v="Now Studios Ipiranga"/>
    <n v="1513"/>
    <x v="0"/>
    <x v="2"/>
    <x v="220"/>
    <x v="183"/>
    <x v="8"/>
    <n v="144490.27499999999"/>
    <n v="0.5"/>
    <x v="10"/>
    <x v="0"/>
  </r>
  <r>
    <x v="26"/>
    <s v="Now Studios Ipiranga"/>
    <n v="1602"/>
    <x v="0"/>
    <x v="2"/>
    <x v="220"/>
    <x v="151"/>
    <x v="4"/>
    <n v="136154.60999999999"/>
    <n v="0.5"/>
    <x v="10"/>
    <x v="0"/>
  </r>
  <r>
    <x v="26"/>
    <s v="Now Studios Ipiranga"/>
    <n v="1602"/>
    <x v="0"/>
    <x v="2"/>
    <x v="220"/>
    <x v="168"/>
    <x v="4"/>
    <n v="136154.60999999999"/>
    <n v="0.5"/>
    <x v="10"/>
    <x v="0"/>
  </r>
  <r>
    <x v="26"/>
    <s v="Now Studios Ipiranga"/>
    <n v="1610"/>
    <x v="0"/>
    <x v="2"/>
    <x v="220"/>
    <x v="60"/>
    <x v="4"/>
    <n v="288528.84999999998"/>
    <n v="1"/>
    <x v="10"/>
    <x v="0"/>
  </r>
  <r>
    <x v="26"/>
    <s v="Now Studios Ipiranga"/>
    <n v="1607"/>
    <x v="0"/>
    <x v="2"/>
    <x v="220"/>
    <x v="94"/>
    <x v="3"/>
    <n v="143500"/>
    <n v="0.5"/>
    <x v="10"/>
    <x v="0"/>
  </r>
  <r>
    <x v="26"/>
    <s v="Now Studios Ipiranga"/>
    <n v="1607"/>
    <x v="0"/>
    <x v="2"/>
    <x v="220"/>
    <x v="96"/>
    <x v="3"/>
    <n v="143500"/>
    <n v="0.5"/>
    <x v="10"/>
    <x v="0"/>
  </r>
  <r>
    <x v="26"/>
    <s v="Now Studios Ipiranga"/>
    <n v="1616"/>
    <x v="0"/>
    <x v="2"/>
    <x v="220"/>
    <x v="167"/>
    <x v="8"/>
    <n v="178000"/>
    <n v="0.5"/>
    <x v="10"/>
    <x v="0"/>
  </r>
  <r>
    <x v="26"/>
    <s v="Now Studios Ipiranga"/>
    <n v="1616"/>
    <x v="0"/>
    <x v="2"/>
    <x v="220"/>
    <x v="71"/>
    <x v="8"/>
    <n v="178000"/>
    <n v="0.5"/>
    <x v="10"/>
    <x v="0"/>
  </r>
  <r>
    <x v="26"/>
    <s v="Now Studios Ipiranga"/>
    <n v="1709"/>
    <x v="0"/>
    <x v="2"/>
    <x v="220"/>
    <x v="76"/>
    <x v="8"/>
    <n v="144490.27499999999"/>
    <n v="0.5"/>
    <x v="10"/>
    <x v="0"/>
  </r>
  <r>
    <x v="26"/>
    <s v="Now Studios Ipiranga"/>
    <n v="1709"/>
    <x v="0"/>
    <x v="2"/>
    <x v="220"/>
    <x v="183"/>
    <x v="8"/>
    <n v="144490.27499999999"/>
    <n v="0.5"/>
    <x v="10"/>
    <x v="0"/>
  </r>
  <r>
    <x v="24"/>
    <s v="Station Offices Saúde"/>
    <n v="614"/>
    <x v="0"/>
    <x v="0"/>
    <x v="220"/>
    <x v="14"/>
    <x v="0"/>
    <n v="412919.26"/>
    <n v="1"/>
    <x v="10"/>
    <x v="0"/>
  </r>
  <r>
    <x v="25"/>
    <s v="Origens Lapa"/>
    <n v="13"/>
    <x v="0"/>
    <x v="2"/>
    <x v="221"/>
    <x v="64"/>
    <x v="1"/>
    <n v="444474.97"/>
    <n v="1"/>
    <x v="11"/>
    <x v="0"/>
  </r>
  <r>
    <x v="26"/>
    <s v="Now Studios Ipiranga"/>
    <n v="315"/>
    <x v="0"/>
    <x v="2"/>
    <x v="221"/>
    <x v="82"/>
    <x v="2"/>
    <n v="358932.93"/>
    <n v="1"/>
    <x v="11"/>
    <x v="0"/>
  </r>
  <r>
    <x v="26"/>
    <s v="Now Studios Ipiranga"/>
    <n v="716"/>
    <x v="1"/>
    <x v="2"/>
    <x v="221"/>
    <x v="8"/>
    <x v="5"/>
    <n v="362996.8"/>
    <n v="1"/>
    <x v="11"/>
    <x v="0"/>
  </r>
  <r>
    <x v="26"/>
    <s v="Now Studios Ipiranga"/>
    <n v="1509"/>
    <x v="0"/>
    <x v="2"/>
    <x v="221"/>
    <x v="179"/>
    <x v="3"/>
    <n v="291236.49"/>
    <n v="1"/>
    <x v="11"/>
    <x v="0"/>
  </r>
  <r>
    <x v="26"/>
    <s v="Now Studios Ipiranga"/>
    <n v="416"/>
    <x v="0"/>
    <x v="2"/>
    <x v="221"/>
    <x v="82"/>
    <x v="2"/>
    <n v="338226.4"/>
    <n v="1"/>
    <x v="11"/>
    <x v="0"/>
  </r>
  <r>
    <x v="26"/>
    <s v="Now Studios Ipiranga"/>
    <n v="1413"/>
    <x v="0"/>
    <x v="2"/>
    <x v="221"/>
    <x v="31"/>
    <x v="3"/>
    <n v="236000"/>
    <n v="1"/>
    <x v="11"/>
    <x v="0"/>
  </r>
  <r>
    <x v="26"/>
    <s v="Now Studios Ipiranga"/>
    <n v="1418"/>
    <x v="1"/>
    <x v="2"/>
    <x v="222"/>
    <x v="11"/>
    <x v="5"/>
    <n v="286224.65999999997"/>
    <n v="1"/>
    <x v="11"/>
    <x v="0"/>
  </r>
  <r>
    <x v="4"/>
    <s v="Tons da Villa"/>
    <n v="155"/>
    <x v="0"/>
    <x v="0"/>
    <x v="222"/>
    <x v="110"/>
    <x v="4"/>
    <n v="349999.99"/>
    <n v="1"/>
    <x v="11"/>
    <x v="0"/>
  </r>
  <r>
    <x v="25"/>
    <s v="Laços da Lapa"/>
    <n v="62"/>
    <x v="0"/>
    <x v="2"/>
    <x v="223"/>
    <x v="35"/>
    <x v="4"/>
    <n v="322472.15999999997"/>
    <n v="0.5"/>
    <x v="11"/>
    <x v="0"/>
  </r>
  <r>
    <x v="25"/>
    <s v="Laços da Lapa"/>
    <n v="62"/>
    <x v="0"/>
    <x v="2"/>
    <x v="223"/>
    <x v="151"/>
    <x v="4"/>
    <n v="322472.15999999997"/>
    <n v="0.5"/>
    <x v="11"/>
    <x v="0"/>
  </r>
  <r>
    <x v="26"/>
    <s v="Now Studios Ipiranga"/>
    <n v="905"/>
    <x v="1"/>
    <x v="2"/>
    <x v="223"/>
    <x v="8"/>
    <x v="5"/>
    <n v="368464.35"/>
    <n v="1"/>
    <x v="11"/>
    <x v="0"/>
  </r>
  <r>
    <x v="26"/>
    <s v="Now Studios Ipiranga"/>
    <n v="1406"/>
    <x v="0"/>
    <x v="2"/>
    <x v="223"/>
    <x v="184"/>
    <x v="8"/>
    <n v="360240"/>
    <n v="1"/>
    <x v="11"/>
    <x v="0"/>
  </r>
  <r>
    <x v="3"/>
    <s v="Class Varanda Mariana"/>
    <n v="68"/>
    <x v="0"/>
    <x v="0"/>
    <x v="224"/>
    <x v="22"/>
    <x v="8"/>
    <n v="549500"/>
    <n v="1"/>
    <x v="11"/>
    <x v="0"/>
  </r>
  <r>
    <x v="26"/>
    <s v="Now Studios Ipiranga"/>
    <n v="407"/>
    <x v="1"/>
    <x v="2"/>
    <x v="224"/>
    <x v="11"/>
    <x v="5"/>
    <n v="267670"/>
    <n v="1"/>
    <x v="11"/>
    <x v="0"/>
  </r>
  <r>
    <x v="26"/>
    <s v="Now Studios Ipiranga"/>
    <n v="1516"/>
    <x v="0"/>
    <x v="2"/>
    <x v="224"/>
    <x v="71"/>
    <x v="8"/>
    <n v="190449.285"/>
    <n v="0.5"/>
    <x v="11"/>
    <x v="0"/>
  </r>
  <r>
    <x v="26"/>
    <s v="Now Studios Ipiranga"/>
    <n v="1516"/>
    <x v="0"/>
    <x v="2"/>
    <x v="224"/>
    <x v="167"/>
    <x v="8"/>
    <n v="190449.285"/>
    <n v="0.5"/>
    <x v="11"/>
    <x v="0"/>
  </r>
  <r>
    <x v="17"/>
    <s v="Cedro"/>
    <n v="82"/>
    <x v="0"/>
    <x v="2"/>
    <x v="225"/>
    <x v="86"/>
    <x v="3"/>
    <n v="262975.95"/>
    <n v="0.5"/>
    <x v="11"/>
    <x v="0"/>
  </r>
  <r>
    <x v="17"/>
    <s v="Cedro"/>
    <n v="82"/>
    <x v="0"/>
    <x v="2"/>
    <x v="225"/>
    <x v="185"/>
    <x v="3"/>
    <n v="262975.95"/>
    <n v="0.5"/>
    <x v="11"/>
    <x v="0"/>
  </r>
  <r>
    <x v="26"/>
    <s v="Now Studios Ipiranga"/>
    <n v="1416"/>
    <x v="0"/>
    <x v="2"/>
    <x v="225"/>
    <x v="53"/>
    <x v="4"/>
    <n v="370000"/>
    <n v="1"/>
    <x v="11"/>
    <x v="0"/>
  </r>
  <r>
    <x v="26"/>
    <s v="Now Studios Ipiranga"/>
    <n v="706"/>
    <x v="1"/>
    <x v="2"/>
    <x v="225"/>
    <x v="8"/>
    <x v="5"/>
    <n v="383390.53"/>
    <n v="1"/>
    <x v="11"/>
    <x v="0"/>
  </r>
  <r>
    <x v="26"/>
    <s v="Now Studios Ipiranga"/>
    <n v="1718"/>
    <x v="0"/>
    <x v="2"/>
    <x v="225"/>
    <x v="60"/>
    <x v="4"/>
    <n v="256400"/>
    <n v="1"/>
    <x v="11"/>
    <x v="0"/>
  </r>
  <r>
    <x v="1"/>
    <s v="Amizade"/>
    <n v="101"/>
    <x v="0"/>
    <x v="0"/>
    <x v="226"/>
    <x v="180"/>
    <x v="0"/>
    <n v="344924"/>
    <n v="1"/>
    <x v="11"/>
    <x v="0"/>
  </r>
  <r>
    <x v="11"/>
    <s v="Decor Paraíso"/>
    <n v="21"/>
    <x v="1"/>
    <x v="0"/>
    <x v="226"/>
    <x v="8"/>
    <x v="5"/>
    <n v="459930"/>
    <n v="1"/>
    <x v="11"/>
    <x v="0"/>
  </r>
  <r>
    <x v="26"/>
    <s v="Now Studios Ipiranga"/>
    <n v="106"/>
    <x v="0"/>
    <x v="2"/>
    <x v="226"/>
    <x v="2"/>
    <x v="2"/>
    <n v="298089"/>
    <n v="1"/>
    <x v="11"/>
    <x v="0"/>
  </r>
  <r>
    <x v="26"/>
    <s v="Now Studios Ipiranga"/>
    <n v="216"/>
    <x v="0"/>
    <x v="2"/>
    <x v="226"/>
    <x v="38"/>
    <x v="2"/>
    <n v="329000"/>
    <n v="1"/>
    <x v="11"/>
    <x v="0"/>
  </r>
  <r>
    <x v="0"/>
    <s v="Buriti"/>
    <n v="26"/>
    <x v="0"/>
    <x v="0"/>
    <x v="227"/>
    <x v="15"/>
    <x v="3"/>
    <n v="237500"/>
    <n v="1"/>
    <x v="11"/>
    <x v="0"/>
  </r>
  <r>
    <x v="26"/>
    <s v="Now Studios Ipiranga"/>
    <n v="1415"/>
    <x v="0"/>
    <x v="2"/>
    <x v="227"/>
    <x v="53"/>
    <x v="4"/>
    <n v="393082.61"/>
    <n v="1"/>
    <x v="11"/>
    <x v="0"/>
  </r>
  <r>
    <x v="26"/>
    <s v="Now Studios Ipiranga"/>
    <n v="1708"/>
    <x v="1"/>
    <x v="2"/>
    <x v="227"/>
    <x v="10"/>
    <x v="5"/>
    <n v="290990"/>
    <n v="1"/>
    <x v="11"/>
    <x v="0"/>
  </r>
  <r>
    <x v="26"/>
    <s v="Now Studios Ipiranga"/>
    <n v="711"/>
    <x v="0"/>
    <x v="2"/>
    <x v="228"/>
    <x v="157"/>
    <x v="2"/>
    <n v="396498"/>
    <n v="1"/>
    <x v="11"/>
    <x v="0"/>
  </r>
  <r>
    <x v="17"/>
    <s v="Oliveira "/>
    <n v="58"/>
    <x v="0"/>
    <x v="2"/>
    <x v="229"/>
    <x v="127"/>
    <x v="8"/>
    <n v="417500"/>
    <n v="1"/>
    <x v="11"/>
    <x v="0"/>
  </r>
  <r>
    <x v="17"/>
    <s v="Carvalho"/>
    <n v="2"/>
    <x v="0"/>
    <x v="2"/>
    <x v="230"/>
    <x v="185"/>
    <x v="3"/>
    <n v="228199"/>
    <n v="0.5"/>
    <x v="11"/>
    <x v="0"/>
  </r>
  <r>
    <x v="17"/>
    <s v="Carvalho"/>
    <n v="2"/>
    <x v="0"/>
    <x v="2"/>
    <x v="230"/>
    <x v="86"/>
    <x v="3"/>
    <n v="228199"/>
    <n v="0.5"/>
    <x v="11"/>
    <x v="0"/>
  </r>
  <r>
    <x v="17"/>
    <s v="Cedro"/>
    <n v="84"/>
    <x v="1"/>
    <x v="2"/>
    <x v="230"/>
    <x v="8"/>
    <x v="5"/>
    <n v="355000"/>
    <n v="1"/>
    <x v="11"/>
    <x v="0"/>
  </r>
  <r>
    <x v="0"/>
    <s v="Cambuí"/>
    <n v="42"/>
    <x v="0"/>
    <x v="0"/>
    <x v="231"/>
    <x v="50"/>
    <x v="3"/>
    <n v="240000"/>
    <n v="1"/>
    <x v="11"/>
    <x v="0"/>
  </r>
  <r>
    <x v="24"/>
    <s v="Station Offices Saúde"/>
    <n v="201"/>
    <x v="1"/>
    <x v="0"/>
    <x v="231"/>
    <x v="11"/>
    <x v="5"/>
    <n v="440000"/>
    <n v="1"/>
    <x v="11"/>
    <x v="0"/>
  </r>
  <r>
    <x v="24"/>
    <s v="Station Offices Saúde"/>
    <n v="613"/>
    <x v="0"/>
    <x v="0"/>
    <x v="231"/>
    <x v="14"/>
    <x v="0"/>
    <n v="420207"/>
    <n v="1"/>
    <x v="11"/>
    <x v="0"/>
  </r>
  <r>
    <x v="26"/>
    <s v="Now Studios Ipiranga"/>
    <n v="206"/>
    <x v="1"/>
    <x v="2"/>
    <x v="232"/>
    <x v="8"/>
    <x v="5"/>
    <n v="376555.56"/>
    <n v="1"/>
    <x v="11"/>
    <x v="0"/>
  </r>
  <r>
    <x v="26"/>
    <s v="Now Studios Ipiranga"/>
    <n v="1506"/>
    <x v="0"/>
    <x v="2"/>
    <x v="233"/>
    <x v="186"/>
    <x v="10"/>
    <n v="387956"/>
    <n v="1"/>
    <x v="11"/>
    <x v="0"/>
  </r>
  <r>
    <x v="11"/>
    <s v="Decor Paraíso"/>
    <n v="84"/>
    <x v="0"/>
    <x v="0"/>
    <x v="234"/>
    <x v="158"/>
    <x v="1"/>
    <n v="490000"/>
    <n v="1"/>
    <x v="11"/>
    <x v="0"/>
  </r>
  <r>
    <x v="11"/>
    <s v="Decor Paraíso"/>
    <n v="26"/>
    <x v="1"/>
    <x v="0"/>
    <x v="235"/>
    <x v="8"/>
    <x v="5"/>
    <n v="466051.74"/>
    <n v="1"/>
    <x v="11"/>
    <x v="0"/>
  </r>
  <r>
    <x v="12"/>
    <s v="Gallery Offices"/>
    <n v="702"/>
    <x v="1"/>
    <x v="0"/>
    <x v="235"/>
    <x v="8"/>
    <x v="5"/>
    <n v="445057.77"/>
    <n v="1"/>
    <x v="11"/>
    <x v="0"/>
  </r>
  <r>
    <x v="12"/>
    <s v="Gallery Offices"/>
    <n v="703"/>
    <x v="1"/>
    <x v="0"/>
    <x v="235"/>
    <x v="8"/>
    <x v="5"/>
    <n v="445057.77"/>
    <n v="1"/>
    <x v="11"/>
    <x v="0"/>
  </r>
  <r>
    <x v="9"/>
    <s v="Host Paraíso"/>
    <n v="1404"/>
    <x v="2"/>
    <x v="1"/>
    <x v="235"/>
    <x v="16"/>
    <x v="6"/>
    <n v="610000"/>
    <n v="1"/>
    <x v="11"/>
    <x v="0"/>
  </r>
  <r>
    <x v="13"/>
    <s v="NEW STATION VILA CLEMENTINO"/>
    <n v="607"/>
    <x v="1"/>
    <x v="0"/>
    <x v="235"/>
    <x v="8"/>
    <x v="5"/>
    <n v="502877"/>
    <n v="1"/>
    <x v="11"/>
    <x v="0"/>
  </r>
  <r>
    <x v="17"/>
    <s v="Oliveira"/>
    <n v="75"/>
    <x v="0"/>
    <x v="2"/>
    <x v="236"/>
    <x v="129"/>
    <x v="2"/>
    <n v="416740"/>
    <n v="1"/>
    <x v="11"/>
    <x v="0"/>
  </r>
  <r>
    <x v="17"/>
    <s v="Oliveira"/>
    <n v="71"/>
    <x v="0"/>
    <x v="2"/>
    <x v="237"/>
    <x v="119"/>
    <x v="2"/>
    <n v="192000"/>
    <n v="0.5"/>
    <x v="0"/>
    <x v="1"/>
  </r>
  <r>
    <x v="17"/>
    <s v="Oliveira"/>
    <n v="71"/>
    <x v="0"/>
    <x v="2"/>
    <x v="237"/>
    <x v="112"/>
    <x v="2"/>
    <n v="192000"/>
    <n v="0.5"/>
    <x v="0"/>
    <x v="1"/>
  </r>
  <r>
    <x v="0"/>
    <s v="Flamboyant"/>
    <n v="114"/>
    <x v="1"/>
    <x v="0"/>
    <x v="238"/>
    <x v="8"/>
    <x v="5"/>
    <n v="209630"/>
    <n v="1"/>
    <x v="0"/>
    <x v="1"/>
  </r>
  <r>
    <x v="26"/>
    <s v="Now Studios Ipiranga"/>
    <n v="1716"/>
    <x v="0"/>
    <x v="2"/>
    <x v="238"/>
    <x v="61"/>
    <x v="1"/>
    <n v="378795"/>
    <n v="1"/>
    <x v="0"/>
    <x v="1"/>
  </r>
  <r>
    <x v="11"/>
    <s v="Decor Paraíso"/>
    <n v="142"/>
    <x v="0"/>
    <x v="0"/>
    <x v="239"/>
    <x v="61"/>
    <x v="1"/>
    <n v="865391.43"/>
    <n v="1"/>
    <x v="0"/>
    <x v="1"/>
  </r>
  <r>
    <x v="26"/>
    <s v="Now Studios Ipiranga"/>
    <n v="811"/>
    <x v="0"/>
    <x v="2"/>
    <x v="240"/>
    <x v="32"/>
    <x v="0"/>
    <n v="424939.34"/>
    <n v="1"/>
    <x v="0"/>
    <x v="1"/>
  </r>
  <r>
    <x v="26"/>
    <s v="Now Studios Ipiranga"/>
    <n v="1606"/>
    <x v="0"/>
    <x v="2"/>
    <x v="241"/>
    <x v="179"/>
    <x v="3"/>
    <n v="410449.86"/>
    <n v="1"/>
    <x v="0"/>
    <x v="1"/>
  </r>
  <r>
    <x v="1"/>
    <s v="Felicidade"/>
    <n v="104"/>
    <x v="0"/>
    <x v="0"/>
    <x v="242"/>
    <x v="187"/>
    <x v="11"/>
    <n v="259745.4"/>
    <n v="1"/>
    <x v="0"/>
    <x v="1"/>
  </r>
  <r>
    <x v="0"/>
    <s v="Buriti"/>
    <n v="117"/>
    <x v="0"/>
    <x v="0"/>
    <x v="242"/>
    <x v="0"/>
    <x v="0"/>
    <n v="200000"/>
    <n v="1"/>
    <x v="0"/>
    <x v="1"/>
  </r>
  <r>
    <x v="11"/>
    <s v="Decor Paraíso"/>
    <n v="41"/>
    <x v="0"/>
    <x v="0"/>
    <x v="243"/>
    <x v="188"/>
    <x v="11"/>
    <n v="484115.36"/>
    <n v="1"/>
    <x v="0"/>
    <x v="1"/>
  </r>
  <r>
    <x v="25"/>
    <s v="Laços da Lapa"/>
    <n v="73"/>
    <x v="0"/>
    <x v="2"/>
    <x v="244"/>
    <x v="94"/>
    <x v="3"/>
    <n v="480266.53"/>
    <n v="1"/>
    <x v="0"/>
    <x v="1"/>
  </r>
  <r>
    <x v="1"/>
    <s v="Felicidade"/>
    <n v="167"/>
    <x v="0"/>
    <x v="0"/>
    <x v="244"/>
    <x v="32"/>
    <x v="0"/>
    <n v="267106.21000000002"/>
    <n v="1"/>
    <x v="0"/>
    <x v="1"/>
  </r>
  <r>
    <x v="11"/>
    <s v="Decor Paraíso"/>
    <n v="115"/>
    <x v="0"/>
    <x v="0"/>
    <x v="245"/>
    <x v="189"/>
    <x v="10"/>
    <n v="455428.24"/>
    <n v="1"/>
    <x v="0"/>
    <x v="1"/>
  </r>
  <r>
    <x v="1"/>
    <s v="Amizade"/>
    <n v="178"/>
    <x v="0"/>
    <x v="0"/>
    <x v="245"/>
    <x v="190"/>
    <x v="8"/>
    <n v="275209"/>
    <n v="1"/>
    <x v="0"/>
    <x v="1"/>
  </r>
  <r>
    <x v="17"/>
    <s v="Cedro"/>
    <n v="38"/>
    <x v="0"/>
    <x v="2"/>
    <x v="246"/>
    <x v="127"/>
    <x v="8"/>
    <n v="300000"/>
    <n v="1"/>
    <x v="0"/>
    <x v="1"/>
  </r>
  <r>
    <x v="25"/>
    <s v="Origens Lapa"/>
    <n v="122"/>
    <x v="1"/>
    <x v="2"/>
    <x v="246"/>
    <x v="8"/>
    <x v="5"/>
    <n v="320000"/>
    <n v="0.5"/>
    <x v="0"/>
    <x v="1"/>
  </r>
  <r>
    <x v="25"/>
    <s v="Origens Lapa"/>
    <n v="122"/>
    <x v="1"/>
    <x v="2"/>
    <x v="246"/>
    <x v="153"/>
    <x v="5"/>
    <n v="320000"/>
    <n v="0.5"/>
    <x v="0"/>
    <x v="1"/>
  </r>
  <r>
    <x v="17"/>
    <s v="Oliveira"/>
    <n v="18"/>
    <x v="0"/>
    <x v="2"/>
    <x v="247"/>
    <x v="157"/>
    <x v="2"/>
    <n v="195750"/>
    <n v="0.5"/>
    <x v="0"/>
    <x v="1"/>
  </r>
  <r>
    <x v="17"/>
    <s v="Oliveira"/>
    <n v="18"/>
    <x v="0"/>
    <x v="2"/>
    <x v="247"/>
    <x v="129"/>
    <x v="2"/>
    <n v="195750"/>
    <n v="0.5"/>
    <x v="0"/>
    <x v="1"/>
  </r>
  <r>
    <x v="0"/>
    <s v="Acácia"/>
    <n v="56"/>
    <x v="0"/>
    <x v="0"/>
    <x v="247"/>
    <x v="45"/>
    <x v="0"/>
    <n v="122494.19"/>
    <n v="0.5"/>
    <x v="0"/>
    <x v="1"/>
  </r>
  <r>
    <x v="0"/>
    <s v="Acácia"/>
    <n v="56"/>
    <x v="0"/>
    <x v="0"/>
    <x v="247"/>
    <x v="0"/>
    <x v="0"/>
    <n v="122494.19"/>
    <n v="0.5"/>
    <x v="0"/>
    <x v="1"/>
  </r>
  <r>
    <x v="0"/>
    <s v="Flamboyant"/>
    <n v="133"/>
    <x v="0"/>
    <x v="0"/>
    <x v="247"/>
    <x v="152"/>
    <x v="2"/>
    <n v="221657.8"/>
    <n v="1"/>
    <x v="0"/>
    <x v="1"/>
  </r>
  <r>
    <x v="0"/>
    <s v="Buriti"/>
    <n v="175"/>
    <x v="0"/>
    <x v="0"/>
    <x v="247"/>
    <x v="98"/>
    <x v="1"/>
    <n v="271000"/>
    <n v="1"/>
    <x v="0"/>
    <x v="1"/>
  </r>
  <r>
    <x v="14"/>
    <s v="Ares do Parque Aclimação"/>
    <n v="191"/>
    <x v="0"/>
    <x v="0"/>
    <x v="247"/>
    <x v="141"/>
    <x v="0"/>
    <n v="2306800"/>
    <n v="1"/>
    <x v="0"/>
    <x v="1"/>
  </r>
  <r>
    <x v="1"/>
    <s v="Amizade"/>
    <n v="7"/>
    <x v="0"/>
    <x v="0"/>
    <x v="248"/>
    <x v="190"/>
    <x v="8"/>
    <n v="255800"/>
    <n v="1"/>
    <x v="0"/>
    <x v="1"/>
  </r>
  <r>
    <x v="4"/>
    <s v="Tons da Villa"/>
    <n v="176"/>
    <x v="0"/>
    <x v="0"/>
    <x v="248"/>
    <x v="110"/>
    <x v="4"/>
    <n v="356832"/>
    <n v="1"/>
    <x v="0"/>
    <x v="1"/>
  </r>
  <r>
    <x v="0"/>
    <s v="Acácia"/>
    <n v="72"/>
    <x v="1"/>
    <x v="0"/>
    <x v="249"/>
    <x v="8"/>
    <x v="5"/>
    <n v="244000"/>
    <n v="1"/>
    <x v="0"/>
    <x v="1"/>
  </r>
  <r>
    <x v="9"/>
    <s v="Host Paraíso"/>
    <n v="309"/>
    <x v="0"/>
    <x v="0"/>
    <x v="250"/>
    <x v="191"/>
    <x v="10"/>
    <n v="800000"/>
    <n v="1"/>
    <x v="0"/>
    <x v="1"/>
  </r>
  <r>
    <x v="0"/>
    <s v="Acácia"/>
    <n v="18"/>
    <x v="0"/>
    <x v="0"/>
    <x v="251"/>
    <x v="98"/>
    <x v="1"/>
    <n v="199500"/>
    <n v="1"/>
    <x v="0"/>
    <x v="1"/>
  </r>
  <r>
    <x v="0"/>
    <s v="Flamboyant"/>
    <n v="124"/>
    <x v="1"/>
    <x v="0"/>
    <x v="251"/>
    <x v="153"/>
    <x v="5"/>
    <n v="207600"/>
    <n v="1"/>
    <x v="0"/>
    <x v="1"/>
  </r>
  <r>
    <x v="0"/>
    <s v="Flamboyant"/>
    <n v="54"/>
    <x v="0"/>
    <x v="0"/>
    <x v="252"/>
    <x v="162"/>
    <x v="2"/>
    <n v="211404"/>
    <n v="1"/>
    <x v="0"/>
    <x v="1"/>
  </r>
  <r>
    <x v="0"/>
    <s v="Flamboyant"/>
    <n v="64"/>
    <x v="0"/>
    <x v="0"/>
    <x v="252"/>
    <x v="157"/>
    <x v="2"/>
    <n v="109143.535"/>
    <n v="0.5"/>
    <x v="0"/>
    <x v="1"/>
  </r>
  <r>
    <x v="0"/>
    <s v="Flamboyant"/>
    <n v="64"/>
    <x v="0"/>
    <x v="0"/>
    <x v="252"/>
    <x v="180"/>
    <x v="3"/>
    <n v="109143.535"/>
    <n v="0.5"/>
    <x v="0"/>
    <x v="1"/>
  </r>
  <r>
    <x v="7"/>
    <s v="Novo Jardim Vip"/>
    <n v="103"/>
    <x v="0"/>
    <x v="0"/>
    <x v="252"/>
    <x v="191"/>
    <x v="10"/>
    <n v="880000"/>
    <n v="1"/>
    <x v="0"/>
    <x v="1"/>
  </r>
  <r>
    <x v="12"/>
    <s v="Gallery Offices"/>
    <n v="306"/>
    <x v="1"/>
    <x v="0"/>
    <x v="252"/>
    <x v="11"/>
    <x v="5"/>
    <n v="400000"/>
    <n v="1"/>
    <x v="0"/>
    <x v="1"/>
  </r>
  <r>
    <x v="26"/>
    <s v="Now Studios Ipiranga"/>
    <n v="306"/>
    <x v="0"/>
    <x v="2"/>
    <x v="253"/>
    <x v="41"/>
    <x v="1"/>
    <n v="375593"/>
    <n v="1"/>
    <x v="0"/>
    <x v="1"/>
  </r>
  <r>
    <x v="3"/>
    <s v="Class Varanda Mariana"/>
    <n v="98"/>
    <x v="0"/>
    <x v="0"/>
    <x v="254"/>
    <x v="172"/>
    <x v="1"/>
    <n v="544500"/>
    <n v="1"/>
    <x v="0"/>
    <x v="1"/>
  </r>
  <r>
    <x v="3"/>
    <s v="Class Varanda Mariana"/>
    <s v="44 - G"/>
    <x v="0"/>
    <x v="0"/>
    <x v="254"/>
    <x v="172"/>
    <x v="1"/>
    <n v="36787"/>
    <n v="1"/>
    <x v="0"/>
    <x v="1"/>
  </r>
  <r>
    <x v="4"/>
    <s v="Tons da Villa"/>
    <n v="13"/>
    <x v="0"/>
    <x v="0"/>
    <x v="255"/>
    <x v="110"/>
    <x v="4"/>
    <n v="330000"/>
    <n v="1"/>
    <x v="0"/>
    <x v="1"/>
  </r>
  <r>
    <x v="24"/>
    <s v="Station Offices Saúde"/>
    <n v="1207"/>
    <x v="2"/>
    <x v="1"/>
    <x v="244"/>
    <x v="16"/>
    <x v="6"/>
    <n v="414999.55"/>
    <n v="1"/>
    <x v="0"/>
    <x v="1"/>
  </r>
  <r>
    <x v="17"/>
    <s v="Oliveira"/>
    <n v="61"/>
    <x v="0"/>
    <x v="2"/>
    <x v="255"/>
    <x v="112"/>
    <x v="2"/>
    <n v="422950"/>
    <n v="1"/>
    <x v="0"/>
    <x v="1"/>
  </r>
  <r>
    <x v="11"/>
    <s v="Decor Paraíso"/>
    <n v="143"/>
    <x v="0"/>
    <x v="0"/>
    <x v="255"/>
    <x v="100"/>
    <x v="8"/>
    <n v="885000"/>
    <n v="1"/>
    <x v="0"/>
    <x v="1"/>
  </r>
  <r>
    <x v="9"/>
    <s v="Host Paraíso"/>
    <n v="1808"/>
    <x v="2"/>
    <x v="1"/>
    <x v="256"/>
    <x v="16"/>
    <x v="6"/>
    <n v="498449.85"/>
    <n v="1"/>
    <x v="0"/>
    <x v="1"/>
  </r>
  <r>
    <x v="0"/>
    <s v="Flamboyant"/>
    <n v="148"/>
    <x v="1"/>
    <x v="0"/>
    <x v="255"/>
    <x v="153"/>
    <x v="5"/>
    <n v="209000"/>
    <n v="1"/>
    <x v="0"/>
    <x v="1"/>
  </r>
  <r>
    <x v="0"/>
    <s v="Acácia"/>
    <n v="92"/>
    <x v="0"/>
    <x v="0"/>
    <x v="257"/>
    <x v="0"/>
    <x v="0"/>
    <n v="240000"/>
    <n v="1"/>
    <x v="1"/>
    <x v="1"/>
  </r>
  <r>
    <x v="17"/>
    <s v="Cedro"/>
    <n v="42"/>
    <x v="1"/>
    <x v="2"/>
    <x v="258"/>
    <x v="11"/>
    <x v="5"/>
    <n v="484575"/>
    <n v="1"/>
    <x v="1"/>
    <x v="1"/>
  </r>
  <r>
    <x v="17"/>
    <s v="Oliveira"/>
    <n v="63"/>
    <x v="0"/>
    <x v="2"/>
    <x v="258"/>
    <x v="131"/>
    <x v="0"/>
    <n v="545700"/>
    <n v="1"/>
    <x v="1"/>
    <x v="1"/>
  </r>
  <r>
    <x v="17"/>
    <s v="Cedro"/>
    <n v="18"/>
    <x v="0"/>
    <x v="2"/>
    <x v="259"/>
    <x v="115"/>
    <x v="1"/>
    <n v="365500"/>
    <n v="1"/>
    <x v="1"/>
    <x v="1"/>
  </r>
  <r>
    <x v="26"/>
    <s v="Now Studios Ipiranga"/>
    <n v="1705"/>
    <x v="0"/>
    <x v="2"/>
    <x v="259"/>
    <x v="34"/>
    <x v="1"/>
    <n v="350300"/>
    <n v="1"/>
    <x v="1"/>
    <x v="1"/>
  </r>
  <r>
    <x v="17"/>
    <s v="Oliveira"/>
    <n v="11"/>
    <x v="0"/>
    <x v="2"/>
    <x v="260"/>
    <x v="115"/>
    <x v="1"/>
    <n v="406237"/>
    <n v="1"/>
    <x v="1"/>
    <x v="1"/>
  </r>
  <r>
    <x v="17"/>
    <s v="Oliveira"/>
    <n v="68"/>
    <x v="0"/>
    <x v="2"/>
    <x v="260"/>
    <x v="192"/>
    <x v="1"/>
    <n v="425000"/>
    <n v="1"/>
    <x v="1"/>
    <x v="1"/>
  </r>
  <r>
    <x v="25"/>
    <s v="Origens Lapa"/>
    <n v="132"/>
    <x v="0"/>
    <x v="2"/>
    <x v="260"/>
    <x v="61"/>
    <x v="1"/>
    <n v="659000"/>
    <n v="1"/>
    <x v="1"/>
    <x v="1"/>
  </r>
  <r>
    <x v="26"/>
    <s v="Now Studios Ipiranga"/>
    <n v="1706"/>
    <x v="0"/>
    <x v="2"/>
    <x v="260"/>
    <x v="87"/>
    <x v="2"/>
    <n v="345960"/>
    <n v="1"/>
    <x v="1"/>
    <x v="1"/>
  </r>
  <r>
    <x v="5"/>
    <s v="Acqua"/>
    <n v="5"/>
    <x v="1"/>
    <x v="0"/>
    <x v="261"/>
    <x v="153"/>
    <x v="5"/>
    <n v="240500"/>
    <n v="1"/>
    <x v="1"/>
    <x v="1"/>
  </r>
  <r>
    <x v="17"/>
    <s v="Cedro"/>
    <n v="32"/>
    <x v="0"/>
    <x v="2"/>
    <x v="262"/>
    <x v="189"/>
    <x v="10"/>
    <n v="239700"/>
    <n v="0.5"/>
    <x v="1"/>
    <x v="1"/>
  </r>
  <r>
    <x v="17"/>
    <s v="Cedro"/>
    <n v="32"/>
    <x v="0"/>
    <x v="2"/>
    <x v="262"/>
    <x v="120"/>
    <x v="10"/>
    <n v="239700"/>
    <n v="0.5"/>
    <x v="1"/>
    <x v="1"/>
  </r>
  <r>
    <x v="17"/>
    <s v="Cedro"/>
    <n v="61"/>
    <x v="0"/>
    <x v="2"/>
    <x v="263"/>
    <x v="192"/>
    <x v="1"/>
    <n v="388500"/>
    <n v="1"/>
    <x v="1"/>
    <x v="1"/>
  </r>
  <r>
    <x v="0"/>
    <s v="Cambuí"/>
    <n v="27"/>
    <x v="0"/>
    <x v="0"/>
    <x v="264"/>
    <x v="0"/>
    <x v="0"/>
    <n v="195300"/>
    <n v="1"/>
    <x v="1"/>
    <x v="1"/>
  </r>
  <r>
    <x v="0"/>
    <s v="Flamboyant"/>
    <n v="66"/>
    <x v="0"/>
    <x v="0"/>
    <x v="264"/>
    <x v="98"/>
    <x v="1"/>
    <n v="240000"/>
    <n v="1"/>
    <x v="1"/>
    <x v="1"/>
  </r>
  <r>
    <x v="24"/>
    <s v="Única"/>
    <n v="408"/>
    <x v="2"/>
    <x v="1"/>
    <x v="264"/>
    <x v="16"/>
    <x v="6"/>
    <n v="392523.62"/>
    <n v="1"/>
    <x v="1"/>
    <x v="1"/>
  </r>
  <r>
    <x v="1"/>
    <s v="AMIZADE"/>
    <n v="107"/>
    <x v="1"/>
    <x v="0"/>
    <x v="265"/>
    <x v="153"/>
    <x v="5"/>
    <n v="273500"/>
    <n v="1"/>
    <x v="1"/>
    <x v="1"/>
  </r>
  <r>
    <x v="4"/>
    <s v="Única"/>
    <n v="18"/>
    <x v="1"/>
    <x v="0"/>
    <x v="266"/>
    <x v="153"/>
    <x v="5"/>
    <n v="343000"/>
    <n v="1"/>
    <x v="1"/>
    <x v="1"/>
  </r>
  <r>
    <x v="0"/>
    <s v="Acácia"/>
    <n v="72"/>
    <x v="1"/>
    <x v="0"/>
    <x v="266"/>
    <x v="8"/>
    <x v="5"/>
    <n v="126350"/>
    <n v="0.5"/>
    <x v="1"/>
    <x v="1"/>
  </r>
  <r>
    <x v="0"/>
    <s v="Acácia"/>
    <n v="72"/>
    <x v="0"/>
    <x v="0"/>
    <x v="266"/>
    <x v="53"/>
    <x v="4"/>
    <n v="126350"/>
    <n v="0.5"/>
    <x v="1"/>
    <x v="1"/>
  </r>
  <r>
    <x v="0"/>
    <s v="Buriti"/>
    <n v="23"/>
    <x v="1"/>
    <x v="0"/>
    <x v="266"/>
    <x v="153"/>
    <x v="5"/>
    <n v="205000"/>
    <n v="1"/>
    <x v="1"/>
    <x v="1"/>
  </r>
  <r>
    <x v="11"/>
    <s v="Única"/>
    <n v="31"/>
    <x v="0"/>
    <x v="0"/>
    <x v="266"/>
    <x v="100"/>
    <x v="8"/>
    <n v="483529.12"/>
    <n v="1"/>
    <x v="1"/>
    <x v="1"/>
  </r>
  <r>
    <x v="0"/>
    <s v="Cambuí"/>
    <n v="128"/>
    <x v="0"/>
    <x v="0"/>
    <x v="267"/>
    <x v="193"/>
    <x v="1"/>
    <n v="210000"/>
    <n v="1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3" cacheId="11" applyNumberFormats="0" applyBorderFormats="0" applyFontFormats="0" applyPatternFormats="0" applyAlignmentFormats="0" applyWidthHeightFormats="1" dataCaption="Valores" updatedVersion="4" minRefreshableVersion="3" showCalcMbrs="0" useAutoFormatting="1" itemPrintTitles="1" createdVersion="3" indent="0" outline="1" outlineData="1" multipleFieldFilters="0" chartFormat="1" rowHeaderCaption="">
  <location ref="A4:C15" firstHeaderRow="1" firstDataRow="2" firstDataCol="1" rowPageCount="2" colPageCount="1"/>
  <pivotFields count="12">
    <pivotField showAll="0"/>
    <pivotField showAll="0"/>
    <pivotField showAll="0"/>
    <pivotField axis="axisRow" showAll="0" defaultSubtotal="0">
      <items count="7">
        <item x="0"/>
        <item h="1" x="2"/>
        <item h="1" x="1"/>
        <item h="1" m="1" x="3"/>
        <item h="1" m="1" x="6"/>
        <item h="1" m="1" x="4"/>
        <item h="1" m="1" x="5"/>
      </items>
    </pivotField>
    <pivotField showAll="0" defaultSubtotal="0"/>
    <pivotField showAll="0"/>
    <pivotField showAll="0"/>
    <pivotField axis="axisRow" showAll="0" sortType="descending">
      <items count="14">
        <item x="4"/>
        <item x="8"/>
        <item x="2"/>
        <item x="9"/>
        <item x="1"/>
        <item x="7"/>
        <item x="3"/>
        <item x="0"/>
        <item x="5"/>
        <item x="6"/>
        <item x="10"/>
        <item x="11"/>
        <item h="1" m="1" x="1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dataField="1" showAll="0"/>
    <pivotField axis="axisPage" numFmtId="171" multipleItemSelectionAllowed="1" showAll="0" defaultSubtota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axis="axisPage" numFmtId="171" multipleItemSelectionAllowed="1" showAll="0" defaultSubtotal="0">
      <items count="5">
        <item m="1" x="3"/>
        <item m="1" x="4"/>
        <item h="1" x="0"/>
        <item m="1" x="2"/>
        <item x="1"/>
      </items>
    </pivotField>
  </pivotFields>
  <rowFields count="2">
    <field x="3"/>
    <field x="7"/>
  </rowFields>
  <rowItems count="10">
    <i>
      <x/>
    </i>
    <i r="1">
      <x v="4"/>
    </i>
    <i r="1">
      <x v="7"/>
    </i>
    <i r="1">
      <x v="10"/>
    </i>
    <i r="1">
      <x v="1"/>
    </i>
    <i r="1">
      <x v="2"/>
    </i>
    <i r="1">
      <x v="6"/>
    </i>
    <i r="1">
      <x/>
    </i>
    <i r="1">
      <x v="11"/>
    </i>
    <i t="grand">
      <x/>
    </i>
  </rowItems>
  <colFields count="1">
    <field x="-2"/>
  </colFields>
  <colItems count="2">
    <i>
      <x/>
    </i>
    <i i="1">
      <x v="1"/>
    </i>
  </colItems>
  <pageFields count="2">
    <pageField fld="11" hier="-1"/>
    <pageField fld="10" hier="-1"/>
  </pageFields>
  <dataFields count="2">
    <dataField name="Soma de VGV" fld="8" baseField="0" baseItem="0" numFmtId="43"/>
    <dataField name="Soma de Vendas" fld="9" baseField="0" baseItem="0"/>
  </dataFields>
  <formats count="2">
    <format dxfId="152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51">
      <pivotArea field="3" grandRow="1" outline="0" collapsedLevelsAreSubtotals="1" axis="axisRow" fieldPosition="0">
        <references count="1">
          <reference field="4294967294" count="1" selected="0">
            <x v="0"/>
          </reference>
        </references>
      </pivotArea>
    </format>
  </formats>
  <conditionalFormats count="3">
    <conditionalFormat priority="50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0"/>
            </reference>
            <reference field="7" count="8">
              <x v="0"/>
              <x v="1"/>
              <x v="2"/>
              <x v="3"/>
              <x v="4"/>
              <x v="5"/>
              <x v="6"/>
              <x v="7"/>
            </reference>
          </references>
        </pivotArea>
      </pivotAreas>
    </conditionalFormat>
    <conditionalFormat priority="3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0"/>
            </reference>
            <reference field="7" count="9">
              <x v="0"/>
              <x v="1"/>
              <x v="2"/>
              <x v="3"/>
              <x v="4"/>
              <x v="5"/>
              <x v="6"/>
              <x v="7"/>
              <x v="10"/>
            </reference>
          </references>
        </pivotArea>
      </pivotAreas>
    </conditionalFormat>
    <conditionalFormat priority="27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0"/>
            </reference>
            <reference field="7" count="10">
              <x v="0"/>
              <x v="1"/>
              <x v="2"/>
              <x v="3"/>
              <x v="4"/>
              <x v="5"/>
              <x v="6"/>
              <x v="7"/>
              <x v="10"/>
              <x v="11"/>
            </reference>
          </references>
        </pivotArea>
      </pivotAreas>
    </conditionalFormat>
  </conditionalFormats>
  <chartFormats count="2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Medium2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ela dinâmica2" cacheId="11" applyNumberFormats="0" applyBorderFormats="0" applyFontFormats="0" applyPatternFormats="0" applyAlignmentFormats="0" applyWidthHeightFormats="1" dataCaption="Valores" updatedVersion="4" minRefreshableVersion="3" showCalcMbrs="0" useAutoFormatting="1" itemPrintTitles="1" createdVersion="3" indent="0" outline="1" outlineData="1" multipleFieldFilters="0">
  <location ref="J6:L42" firstHeaderRow="1" firstDataRow="2" firstDataCol="1" rowPageCount="2" colPageCount="1"/>
  <pivotFields count="12">
    <pivotField showAll="0"/>
    <pivotField showAll="0"/>
    <pivotField showAll="0"/>
    <pivotField axis="axisRow" showAll="0" sortType="descending">
      <items count="8">
        <item h="1" m="1" x="3"/>
        <item m="1" x="5"/>
        <item m="1" x="6"/>
        <item h="1" x="1"/>
        <item h="1" x="2"/>
        <item h="1" m="1" x="4"/>
        <item x="0"/>
        <item t="default"/>
      </items>
    </pivotField>
    <pivotField showAll="0"/>
    <pivotField numFmtId="14" showAll="0"/>
    <pivotField axis="axisRow" showAll="0" sortType="descending">
      <items count="226">
        <item x="74"/>
        <item x="121"/>
        <item x="93"/>
        <item x="2"/>
        <item m="1" x="207"/>
        <item x="164"/>
        <item x="159"/>
        <item x="99"/>
        <item x="155"/>
        <item x="46"/>
        <item x="158"/>
        <item x="138"/>
        <item x="136"/>
        <item x="147"/>
        <item x="125"/>
        <item x="103"/>
        <item x="157"/>
        <item x="78"/>
        <item x="80"/>
        <item x="23"/>
        <item x="105"/>
        <item x="150"/>
        <item x="63"/>
        <item m="1" x="219"/>
        <item x="149"/>
        <item x="6"/>
        <item m="1" x="203"/>
        <item x="119"/>
        <item x="72"/>
        <item x="184"/>
        <item x="190"/>
        <item x="70"/>
        <item x="30"/>
        <item x="95"/>
        <item x="115"/>
        <item m="1" x="195"/>
        <item x="24"/>
        <item x="116"/>
        <item x="43"/>
        <item x="13"/>
        <item x="160"/>
        <item x="31"/>
        <item x="168"/>
        <item x="176"/>
        <item x="58"/>
        <item x="17"/>
        <item m="1" x="199"/>
        <item x="130"/>
        <item x="172"/>
        <item x="108"/>
        <item x="48"/>
        <item x="84"/>
        <item x="85"/>
        <item x="49"/>
        <item x="133"/>
        <item x="64"/>
        <item x="76"/>
        <item m="1" x="196"/>
        <item x="134"/>
        <item x="27"/>
        <item x="178"/>
        <item x="38"/>
        <item x="127"/>
        <item x="53"/>
        <item x="192"/>
        <item x="5"/>
        <item x="122"/>
        <item x="42"/>
        <item x="14"/>
        <item x="20"/>
        <item m="1" x="200"/>
        <item x="102"/>
        <item x="146"/>
        <item x="101"/>
        <item x="162"/>
        <item x="114"/>
        <item x="65"/>
        <item x="56"/>
        <item x="15"/>
        <item x="3"/>
        <item x="18"/>
        <item m="1" x="221"/>
        <item x="59"/>
        <item x="26"/>
        <item x="98"/>
        <item m="1" x="215"/>
        <item x="91"/>
        <item x="9"/>
        <item x="40"/>
        <item x="142"/>
        <item x="37"/>
        <item x="135"/>
        <item x="62"/>
        <item x="35"/>
        <item x="132"/>
        <item x="126"/>
        <item m="1" x="210"/>
        <item m="1" x="218"/>
        <item m="1" x="197"/>
        <item x="139"/>
        <item x="10"/>
        <item x="11"/>
        <item x="69"/>
        <item x="8"/>
        <item x="153"/>
        <item x="16"/>
        <item m="1" x="209"/>
        <item m="1" x="224"/>
        <item m="1" x="201"/>
        <item m="1" x="212"/>
        <item m="1" x="213"/>
        <item x="129"/>
        <item x="106"/>
        <item x="112"/>
        <item x="36"/>
        <item x="113"/>
        <item x="92"/>
        <item x="19"/>
        <item m="1" x="217"/>
        <item x="185"/>
        <item x="89"/>
        <item x="186"/>
        <item x="57"/>
        <item x="148"/>
        <item x="104"/>
        <item m="1" x="205"/>
        <item x="68"/>
        <item x="41"/>
        <item x="44"/>
        <item x="128"/>
        <item x="156"/>
        <item x="25"/>
        <item x="82"/>
        <item x="183"/>
        <item x="77"/>
        <item x="28"/>
        <item x="173"/>
        <item x="97"/>
        <item x="60"/>
        <item x="170"/>
        <item x="111"/>
        <item x="34"/>
        <item x="191"/>
        <item x="0"/>
        <item x="166"/>
        <item x="32"/>
        <item x="109"/>
        <item x="83"/>
        <item x="120"/>
        <item x="189"/>
        <item x="175"/>
        <item x="61"/>
        <item x="7"/>
        <item x="144"/>
        <item x="181"/>
        <item x="145"/>
        <item x="22"/>
        <item x="107"/>
        <item x="66"/>
        <item x="4"/>
        <item x="174"/>
        <item m="1" x="216"/>
        <item x="124"/>
        <item x="47"/>
        <item x="177"/>
        <item x="131"/>
        <item x="100"/>
        <item m="1" x="214"/>
        <item x="52"/>
        <item m="1" x="208"/>
        <item x="169"/>
        <item x="167"/>
        <item x="188"/>
        <item x="90"/>
        <item x="182"/>
        <item x="45"/>
        <item m="1" x="223"/>
        <item x="163"/>
        <item x="140"/>
        <item m="1" x="220"/>
        <item x="39"/>
        <item x="154"/>
        <item x="50"/>
        <item x="86"/>
        <item x="161"/>
        <item x="143"/>
        <item x="96"/>
        <item x="94"/>
        <item m="1" x="206"/>
        <item x="29"/>
        <item x="118"/>
        <item x="171"/>
        <item m="1" x="222"/>
        <item x="88"/>
        <item x="179"/>
        <item x="81"/>
        <item x="117"/>
        <item x="141"/>
        <item x="180"/>
        <item m="1" x="204"/>
        <item x="137"/>
        <item x="67"/>
        <item x="165"/>
        <item x="54"/>
        <item x="51"/>
        <item x="75"/>
        <item m="1" x="211"/>
        <item x="1"/>
        <item x="110"/>
        <item x="55"/>
        <item x="21"/>
        <item x="79"/>
        <item x="151"/>
        <item x="73"/>
        <item x="12"/>
        <item m="1" x="198"/>
        <item x="152"/>
        <item x="33"/>
        <item x="123"/>
        <item x="71"/>
        <item x="87"/>
        <item x="187"/>
        <item m="1" x="202"/>
        <item m="1" x="194"/>
        <item x="19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dataField="1" showAll="0"/>
    <pivotField axis="axisPage" numFmtId="171" multipleItemSelectionAllowed="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Page" numFmtId="171" multipleItemSelectionAllowed="1" showAll="0">
      <items count="6">
        <item m="1" x="3"/>
        <item m="1" x="4"/>
        <item h="1" x="0"/>
        <item m="1" x="2"/>
        <item x="1"/>
        <item t="default"/>
      </items>
    </pivotField>
  </pivotFields>
  <rowFields count="2">
    <field x="3"/>
    <field x="6"/>
  </rowFields>
  <rowItems count="35">
    <i>
      <x v="6"/>
    </i>
    <i r="1">
      <x v="197"/>
    </i>
    <i r="1">
      <x v="151"/>
    </i>
    <i r="1">
      <x v="142"/>
    </i>
    <i r="1">
      <x v="166"/>
    </i>
    <i r="1">
      <x v="64"/>
    </i>
    <i r="1">
      <x v="34"/>
    </i>
    <i r="1">
      <x v="143"/>
    </i>
    <i r="1">
      <x v="84"/>
    </i>
    <i r="1">
      <x v="149"/>
    </i>
    <i r="1">
      <x v="145"/>
    </i>
    <i r="1">
      <x v="208"/>
    </i>
    <i r="1">
      <x v="113"/>
    </i>
    <i r="1">
      <x v="48"/>
    </i>
    <i r="1">
      <x v="165"/>
    </i>
    <i r="1">
      <x v="30"/>
    </i>
    <i r="1">
      <x v="172"/>
    </i>
    <i r="1">
      <x v="187"/>
    </i>
    <i r="1">
      <x v="194"/>
    </i>
    <i r="1">
      <x v="127"/>
    </i>
    <i r="1">
      <x v="141"/>
    </i>
    <i r="1">
      <x v="220"/>
    </i>
    <i r="1">
      <x v="16"/>
    </i>
    <i r="1">
      <x v="62"/>
    </i>
    <i r="1">
      <x v="221"/>
    </i>
    <i r="1">
      <x v="148"/>
    </i>
    <i r="1">
      <x v="216"/>
    </i>
    <i r="1">
      <x v="74"/>
    </i>
    <i r="1">
      <x v="224"/>
    </i>
    <i r="1">
      <x v="111"/>
    </i>
    <i r="1">
      <x v="27"/>
    </i>
    <i r="1">
      <x v="63"/>
    </i>
    <i r="1">
      <x v="175"/>
    </i>
    <i r="1">
      <x v="198"/>
    </i>
    <i t="grand">
      <x/>
    </i>
  </rowItems>
  <colFields count="1">
    <field x="-2"/>
  </colFields>
  <colItems count="2">
    <i>
      <x/>
    </i>
    <i i="1">
      <x v="1"/>
    </i>
  </colItems>
  <pageFields count="2">
    <pageField fld="11" hier="-1"/>
    <pageField fld="10" hier="-1"/>
  </pageFields>
  <dataFields count="2">
    <dataField name="Soma de VGV" fld="8" baseField="6" baseItem="6" numFmtId="37"/>
    <dataField name="Soma de Vendas" fld="9" baseField="0" baseItem="0"/>
  </dataFields>
  <formats count="2">
    <format dxfId="154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53">
      <pivotArea outline="0" fieldPosition="0">
        <references count="1">
          <reference field="4294967294" count="1">
            <x v="0"/>
          </reference>
        </references>
      </pivotArea>
    </format>
  </formats>
  <conditionalFormats count="9">
    <conditionalFormat priority="10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6"/>
            </reference>
            <reference field="6" count="178">
              <x v="0"/>
              <x v="1"/>
              <x v="2"/>
              <x v="3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4"/>
              <x v="25"/>
              <x v="27"/>
              <x v="28"/>
              <x v="31"/>
              <x v="32"/>
              <x v="33"/>
              <x v="34"/>
              <x v="36"/>
              <x v="37"/>
              <x v="38"/>
              <x v="39"/>
              <x v="40"/>
              <x v="41"/>
              <x v="42"/>
              <x v="43"/>
              <x v="44"/>
              <x v="45"/>
              <x v="46"/>
              <x v="47"/>
              <x v="49"/>
              <x v="50"/>
              <x v="51"/>
              <x v="52"/>
              <x v="53"/>
              <x v="54"/>
              <x v="55"/>
              <x v="56"/>
              <x v="58"/>
              <x v="59"/>
              <x v="60"/>
              <x v="61"/>
              <x v="62"/>
              <x v="63"/>
              <x v="65"/>
              <x v="66"/>
              <x v="67"/>
              <x v="68"/>
              <x v="69"/>
              <x v="71"/>
              <x v="72"/>
              <x v="73"/>
              <x v="74"/>
              <x v="75"/>
              <x v="76"/>
              <x v="77"/>
              <x v="78"/>
              <x v="79"/>
              <x v="80"/>
              <x v="82"/>
              <x v="83"/>
              <x v="84"/>
              <x v="86"/>
              <x v="87"/>
              <x v="88"/>
              <x v="89"/>
              <x v="90"/>
              <x v="91"/>
              <x v="92"/>
              <x v="93"/>
              <x v="94"/>
              <x v="95"/>
              <x v="111"/>
              <x v="112"/>
              <x v="113"/>
              <x v="114"/>
              <x v="115"/>
              <x v="116"/>
              <x v="117"/>
              <x v="120"/>
              <x v="122"/>
              <x v="123"/>
              <x v="124"/>
              <x v="126"/>
              <x v="127"/>
              <x v="128"/>
              <x v="129"/>
              <x v="130"/>
              <x v="131"/>
              <x v="132"/>
              <x v="133"/>
              <x v="134"/>
              <x v="135"/>
              <x v="136"/>
              <x v="137"/>
              <x v="138"/>
              <x v="139"/>
              <x v="140"/>
              <x v="141"/>
              <x v="143"/>
              <x v="144"/>
              <x v="145"/>
              <x v="146"/>
              <x v="147"/>
              <x v="148"/>
              <x v="150"/>
              <x v="151"/>
              <x v="152"/>
              <x v="153"/>
              <x v="154"/>
              <x v="155"/>
              <x v="156"/>
              <x v="157"/>
              <x v="158"/>
              <x v="159"/>
              <x v="160"/>
              <x v="162"/>
              <x v="163"/>
              <x v="164"/>
              <x v="165"/>
              <x v="166"/>
              <x v="168"/>
              <x v="169"/>
              <x v="171"/>
              <x v="173"/>
              <x v="174"/>
              <x v="175"/>
              <x v="177"/>
              <x v="178"/>
              <x v="179"/>
              <x v="180"/>
              <x v="181"/>
              <x v="182"/>
              <x v="183"/>
              <x v="184"/>
              <x v="185"/>
              <x v="186"/>
              <x v="187"/>
              <x v="189"/>
              <x v="190"/>
              <x v="191"/>
              <x v="193"/>
              <x v="194"/>
              <x v="195"/>
              <x v="196"/>
              <x v="197"/>
              <x v="198"/>
              <x v="200"/>
              <x v="201"/>
              <x v="202"/>
              <x v="203"/>
              <x v="204"/>
              <x v="205"/>
              <x v="207"/>
              <x v="208"/>
              <x v="209"/>
              <x v="210"/>
              <x v="211"/>
              <x v="212"/>
              <x v="213"/>
              <x v="214"/>
              <x v="216"/>
              <x v="217"/>
              <x v="218"/>
              <x v="219"/>
              <x v="220"/>
            </reference>
          </references>
        </pivotArea>
      </pivotAreas>
    </conditionalFormat>
    <conditionalFormat priority="9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6"/>
            </reference>
            <reference field="6" count="178">
              <x v="0"/>
              <x v="1"/>
              <x v="2"/>
              <x v="3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4"/>
              <x v="25"/>
              <x v="27"/>
              <x v="28"/>
              <x v="29"/>
              <x v="31"/>
              <x v="32"/>
              <x v="33"/>
              <x v="34"/>
              <x v="36"/>
              <x v="37"/>
              <x v="38"/>
              <x v="39"/>
              <x v="40"/>
              <x v="41"/>
              <x v="42"/>
              <x v="43"/>
              <x v="44"/>
              <x v="45"/>
              <x v="46"/>
              <x v="47"/>
              <x v="49"/>
              <x v="50"/>
              <x v="51"/>
              <x v="52"/>
              <x v="53"/>
              <x v="54"/>
              <x v="55"/>
              <x v="56"/>
              <x v="58"/>
              <x v="59"/>
              <x v="60"/>
              <x v="61"/>
              <x v="62"/>
              <x v="63"/>
              <x v="65"/>
              <x v="66"/>
              <x v="67"/>
              <x v="68"/>
              <x v="69"/>
              <x v="71"/>
              <x v="72"/>
              <x v="73"/>
              <x v="74"/>
              <x v="75"/>
              <x v="76"/>
              <x v="77"/>
              <x v="78"/>
              <x v="79"/>
              <x v="80"/>
              <x v="82"/>
              <x v="83"/>
              <x v="84"/>
              <x v="86"/>
              <x v="87"/>
              <x v="88"/>
              <x v="89"/>
              <x v="90"/>
              <x v="91"/>
              <x v="92"/>
              <x v="93"/>
              <x v="94"/>
              <x v="95"/>
              <x v="111"/>
              <x v="112"/>
              <x v="113"/>
              <x v="114"/>
              <x v="115"/>
              <x v="116"/>
              <x v="117"/>
              <x v="120"/>
              <x v="122"/>
              <x v="123"/>
              <x v="124"/>
              <x v="126"/>
              <x v="127"/>
              <x v="128"/>
              <x v="129"/>
              <x v="130"/>
              <x v="131"/>
              <x v="132"/>
              <x v="133"/>
              <x v="134"/>
              <x v="135"/>
              <x v="136"/>
              <x v="137"/>
              <x v="138"/>
              <x v="139"/>
              <x v="140"/>
              <x v="141"/>
              <x v="143"/>
              <x v="144"/>
              <x v="145"/>
              <x v="146"/>
              <x v="147"/>
              <x v="148"/>
              <x v="150"/>
              <x v="151"/>
              <x v="152"/>
              <x v="153"/>
              <x v="154"/>
              <x v="155"/>
              <x v="156"/>
              <x v="157"/>
              <x v="158"/>
              <x v="159"/>
              <x v="160"/>
              <x v="162"/>
              <x v="163"/>
              <x v="164"/>
              <x v="165"/>
              <x v="166"/>
              <x v="168"/>
              <x v="169"/>
              <x v="171"/>
              <x v="173"/>
              <x v="174"/>
              <x v="175"/>
              <x v="177"/>
              <x v="178"/>
              <x v="180"/>
              <x v="181"/>
              <x v="182"/>
              <x v="183"/>
              <x v="184"/>
              <x v="185"/>
              <x v="186"/>
              <x v="187"/>
              <x v="189"/>
              <x v="190"/>
              <x v="191"/>
              <x v="193"/>
              <x v="194"/>
              <x v="195"/>
              <x v="196"/>
              <x v="197"/>
              <x v="198"/>
              <x v="200"/>
              <x v="201"/>
              <x v="202"/>
              <x v="203"/>
              <x v="204"/>
              <x v="205"/>
              <x v="207"/>
              <x v="208"/>
              <x v="209"/>
              <x v="210"/>
              <x v="211"/>
              <x v="212"/>
              <x v="213"/>
              <x v="214"/>
              <x v="216"/>
              <x v="217"/>
              <x v="218"/>
              <x v="219"/>
              <x v="220"/>
            </reference>
          </references>
        </pivotArea>
      </pivotAreas>
    </conditionalFormat>
    <conditionalFormat priority="8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6"/>
            </reference>
            <reference field="6" count="179">
              <x v="0"/>
              <x v="1"/>
              <x v="2"/>
              <x v="3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4"/>
              <x v="25"/>
              <x v="27"/>
              <x v="28"/>
              <x v="29"/>
              <x v="31"/>
              <x v="32"/>
              <x v="33"/>
              <x v="34"/>
              <x v="36"/>
              <x v="37"/>
              <x v="38"/>
              <x v="39"/>
              <x v="40"/>
              <x v="41"/>
              <x v="42"/>
              <x v="43"/>
              <x v="44"/>
              <x v="45"/>
              <x v="46"/>
              <x v="47"/>
              <x v="49"/>
              <x v="50"/>
              <x v="51"/>
              <x v="52"/>
              <x v="53"/>
              <x v="54"/>
              <x v="55"/>
              <x v="56"/>
              <x v="58"/>
              <x v="59"/>
              <x v="60"/>
              <x v="61"/>
              <x v="62"/>
              <x v="63"/>
              <x v="65"/>
              <x v="66"/>
              <x v="67"/>
              <x v="68"/>
              <x v="69"/>
              <x v="71"/>
              <x v="72"/>
              <x v="73"/>
              <x v="74"/>
              <x v="75"/>
              <x v="76"/>
              <x v="77"/>
              <x v="78"/>
              <x v="79"/>
              <x v="80"/>
              <x v="82"/>
              <x v="83"/>
              <x v="84"/>
              <x v="86"/>
              <x v="87"/>
              <x v="88"/>
              <x v="89"/>
              <x v="90"/>
              <x v="91"/>
              <x v="92"/>
              <x v="93"/>
              <x v="94"/>
              <x v="95"/>
              <x v="111"/>
              <x v="112"/>
              <x v="113"/>
              <x v="114"/>
              <x v="115"/>
              <x v="116"/>
              <x v="117"/>
              <x v="119"/>
              <x v="120"/>
              <x v="122"/>
              <x v="123"/>
              <x v="124"/>
              <x v="126"/>
              <x v="127"/>
              <x v="128"/>
              <x v="129"/>
              <x v="130"/>
              <x v="131"/>
              <x v="132"/>
              <x v="133"/>
              <x v="134"/>
              <x v="135"/>
              <x v="136"/>
              <x v="137"/>
              <x v="138"/>
              <x v="139"/>
              <x v="140"/>
              <x v="141"/>
              <x v="143"/>
              <x v="144"/>
              <x v="145"/>
              <x v="146"/>
              <x v="147"/>
              <x v="148"/>
              <x v="150"/>
              <x v="151"/>
              <x v="152"/>
              <x v="153"/>
              <x v="154"/>
              <x v="155"/>
              <x v="156"/>
              <x v="157"/>
              <x v="158"/>
              <x v="159"/>
              <x v="160"/>
              <x v="162"/>
              <x v="163"/>
              <x v="164"/>
              <x v="165"/>
              <x v="166"/>
              <x v="168"/>
              <x v="169"/>
              <x v="171"/>
              <x v="173"/>
              <x v="174"/>
              <x v="175"/>
              <x v="177"/>
              <x v="178"/>
              <x v="180"/>
              <x v="181"/>
              <x v="182"/>
              <x v="183"/>
              <x v="184"/>
              <x v="185"/>
              <x v="186"/>
              <x v="187"/>
              <x v="189"/>
              <x v="190"/>
              <x v="191"/>
              <x v="193"/>
              <x v="194"/>
              <x v="195"/>
              <x v="196"/>
              <x v="197"/>
              <x v="198"/>
              <x v="200"/>
              <x v="201"/>
              <x v="202"/>
              <x v="203"/>
              <x v="204"/>
              <x v="205"/>
              <x v="207"/>
              <x v="208"/>
              <x v="209"/>
              <x v="210"/>
              <x v="211"/>
              <x v="212"/>
              <x v="213"/>
              <x v="214"/>
              <x v="216"/>
              <x v="217"/>
              <x v="218"/>
              <x v="219"/>
              <x v="220"/>
            </reference>
          </references>
        </pivotArea>
      </pivotAreas>
    </conditionalFormat>
    <conditionalFormat priority="5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6"/>
            </reference>
            <reference field="6" count="180">
              <x v="0"/>
              <x v="1"/>
              <x v="2"/>
              <x v="3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4"/>
              <x v="25"/>
              <x v="27"/>
              <x v="28"/>
              <x v="29"/>
              <x v="31"/>
              <x v="32"/>
              <x v="33"/>
              <x v="34"/>
              <x v="36"/>
              <x v="37"/>
              <x v="38"/>
              <x v="39"/>
              <x v="40"/>
              <x v="41"/>
              <x v="42"/>
              <x v="43"/>
              <x v="44"/>
              <x v="45"/>
              <x v="47"/>
              <x v="48"/>
              <x v="49"/>
              <x v="50"/>
              <x v="51"/>
              <x v="52"/>
              <x v="53"/>
              <x v="54"/>
              <x v="55"/>
              <x v="56"/>
              <x v="58"/>
              <x v="59"/>
              <x v="60"/>
              <x v="61"/>
              <x v="62"/>
              <x v="63"/>
              <x v="65"/>
              <x v="66"/>
              <x v="67"/>
              <x v="68"/>
              <x v="69"/>
              <x v="71"/>
              <x v="72"/>
              <x v="73"/>
              <x v="74"/>
              <x v="75"/>
              <x v="76"/>
              <x v="77"/>
              <x v="78"/>
              <x v="79"/>
              <x v="80"/>
              <x v="82"/>
              <x v="83"/>
              <x v="84"/>
              <x v="86"/>
              <x v="87"/>
              <x v="88"/>
              <x v="89"/>
              <x v="90"/>
              <x v="91"/>
              <x v="92"/>
              <x v="93"/>
              <x v="94"/>
              <x v="95"/>
              <x v="111"/>
              <x v="112"/>
              <x v="113"/>
              <x v="114"/>
              <x v="115"/>
              <x v="116"/>
              <x v="117"/>
              <x v="119"/>
              <x v="120"/>
              <x v="121"/>
              <x v="122"/>
              <x v="123"/>
              <x v="124"/>
              <x v="126"/>
              <x v="127"/>
              <x v="128"/>
              <x v="129"/>
              <x v="130"/>
              <x v="131"/>
              <x v="132"/>
              <x v="133"/>
              <x v="134"/>
              <x v="135"/>
              <x v="136"/>
              <x v="137"/>
              <x v="138"/>
              <x v="139"/>
              <x v="140"/>
              <x v="141"/>
              <x v="143"/>
              <x v="144"/>
              <x v="145"/>
              <x v="146"/>
              <x v="147"/>
              <x v="148"/>
              <x v="150"/>
              <x v="151"/>
              <x v="152"/>
              <x v="153"/>
              <x v="154"/>
              <x v="155"/>
              <x v="156"/>
              <x v="157"/>
              <x v="158"/>
              <x v="159"/>
              <x v="160"/>
              <x v="162"/>
              <x v="163"/>
              <x v="164"/>
              <x v="165"/>
              <x v="166"/>
              <x v="168"/>
              <x v="170"/>
              <x v="171"/>
              <x v="173"/>
              <x v="174"/>
              <x v="175"/>
              <x v="177"/>
              <x v="178"/>
              <x v="180"/>
              <x v="181"/>
              <x v="182"/>
              <x v="183"/>
              <x v="184"/>
              <x v="185"/>
              <x v="186"/>
              <x v="187"/>
              <x v="189"/>
              <x v="190"/>
              <x v="191"/>
              <x v="193"/>
              <x v="194"/>
              <x v="195"/>
              <x v="196"/>
              <x v="197"/>
              <x v="198"/>
              <x v="200"/>
              <x v="201"/>
              <x v="202"/>
              <x v="203"/>
              <x v="204"/>
              <x v="205"/>
              <x v="207"/>
              <x v="208"/>
              <x v="209"/>
              <x v="210"/>
              <x v="211"/>
              <x v="212"/>
              <x v="213"/>
              <x v="214"/>
              <x v="216"/>
              <x v="217"/>
              <x v="218"/>
              <x v="219"/>
              <x v="220"/>
            </reference>
          </references>
        </pivotArea>
      </pivotAreas>
    </conditionalFormat>
    <conditionalFormat priority="6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6"/>
            </reference>
            <reference field="6" count="9">
              <x v="27"/>
              <x v="113"/>
              <x v="143"/>
              <x v="145"/>
              <x v="151"/>
              <x v="172"/>
              <x v="187"/>
              <x v="194"/>
              <x v="222"/>
            </reference>
          </references>
        </pivotArea>
      </pivotAreas>
    </conditionalFormat>
    <conditionalFormat priority="4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6"/>
            </reference>
            <reference field="6" count="18">
              <x v="16"/>
              <x v="27"/>
              <x v="30"/>
              <x v="62"/>
              <x v="84"/>
              <x v="111"/>
              <x v="113"/>
              <x v="143"/>
              <x v="145"/>
              <x v="149"/>
              <x v="151"/>
              <x v="172"/>
              <x v="176"/>
              <x v="187"/>
              <x v="194"/>
              <x v="197"/>
              <x v="216"/>
              <x v="222"/>
            </reference>
          </references>
        </pivotArea>
      </pivotAreas>
    </conditionalFormat>
    <conditionalFormat priority="3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6"/>
            </reference>
            <reference field="6" count="24">
              <x v="16"/>
              <x v="27"/>
              <x v="30"/>
              <x v="48"/>
              <x v="62"/>
              <x v="74"/>
              <x v="84"/>
              <x v="111"/>
              <x v="113"/>
              <x v="127"/>
              <x v="142"/>
              <x v="143"/>
              <x v="145"/>
              <x v="149"/>
              <x v="151"/>
              <x v="172"/>
              <x v="175"/>
              <x v="187"/>
              <x v="194"/>
              <x v="197"/>
              <x v="198"/>
              <x v="208"/>
              <x v="216"/>
              <x v="221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6"/>
            </reference>
            <reference field="6" count="30">
              <x v="16"/>
              <x v="27"/>
              <x v="30"/>
              <x v="34"/>
              <x v="48"/>
              <x v="62"/>
              <x v="64"/>
              <x v="74"/>
              <x v="84"/>
              <x v="111"/>
              <x v="113"/>
              <x v="127"/>
              <x v="141"/>
              <x v="142"/>
              <x v="143"/>
              <x v="145"/>
              <x v="149"/>
              <x v="151"/>
              <x v="165"/>
              <x v="166"/>
              <x v="172"/>
              <x v="175"/>
              <x v="187"/>
              <x v="194"/>
              <x v="197"/>
              <x v="198"/>
              <x v="208"/>
              <x v="216"/>
              <x v="220"/>
              <x v="221"/>
            </reference>
          </references>
        </pivotArea>
      </pivotAreas>
    </conditionalFormat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6"/>
            </reference>
            <reference field="6" count="33">
              <x v="16"/>
              <x v="27"/>
              <x v="30"/>
              <x v="34"/>
              <x v="48"/>
              <x v="62"/>
              <x v="63"/>
              <x v="64"/>
              <x v="74"/>
              <x v="84"/>
              <x v="111"/>
              <x v="113"/>
              <x v="127"/>
              <x v="141"/>
              <x v="142"/>
              <x v="143"/>
              <x v="145"/>
              <x v="148"/>
              <x v="149"/>
              <x v="151"/>
              <x v="165"/>
              <x v="166"/>
              <x v="172"/>
              <x v="175"/>
              <x v="187"/>
              <x v="194"/>
              <x v="197"/>
              <x v="198"/>
              <x v="208"/>
              <x v="216"/>
              <x v="220"/>
              <x v="221"/>
              <x v="224"/>
            </reference>
          </references>
        </pivotArea>
      </pivotAreas>
    </conditionalFormat>
  </conditionalFormats>
  <pivotTableStyleInfo name="PivotStyleMedium2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Tabela dinâmica7" cacheId="11" applyNumberFormats="0" applyBorderFormats="0" applyFontFormats="0" applyPatternFormats="0" applyAlignmentFormats="0" applyWidthHeightFormats="1" dataCaption="Valores" updatedVersion="4" minRefreshableVersion="3" showCalcMbrs="0" useAutoFormatting="1" itemPrintTitles="1" createdVersion="3" indent="0" outline="1" outlineData="1" multipleFieldFilters="0" chartFormat="1">
  <location ref="A40:C47" firstHeaderRow="1" firstDataRow="2" firstDataCol="1" rowPageCount="2" colPageCount="1"/>
  <pivotFields count="12">
    <pivotField showAll="0"/>
    <pivotField showAll="0"/>
    <pivotField showAll="0"/>
    <pivotField axis="axisRow" showAll="0">
      <items count="8">
        <item h="1" x="0"/>
        <item h="1" x="2"/>
        <item x="1"/>
        <item h="1" m="1" x="3"/>
        <item h="1" m="1" x="6"/>
        <item h="1" m="1" x="4"/>
        <item h="1" m="1" x="5"/>
        <item t="default"/>
      </items>
    </pivotField>
    <pivotField showAll="0" defaultSubtotal="0"/>
    <pivotField showAll="0"/>
    <pivotField axis="axisRow" showAll="0" sortType="descending">
      <items count="226">
        <item x="74"/>
        <item x="121"/>
        <item x="93"/>
        <item x="2"/>
        <item m="1" x="207"/>
        <item x="99"/>
        <item x="46"/>
        <item x="125"/>
        <item x="103"/>
        <item x="78"/>
        <item x="80"/>
        <item x="23"/>
        <item x="105"/>
        <item x="63"/>
        <item m="1" x="219"/>
        <item x="6"/>
        <item m="1" x="203"/>
        <item x="119"/>
        <item x="72"/>
        <item x="70"/>
        <item x="30"/>
        <item x="95"/>
        <item x="115"/>
        <item x="24"/>
        <item x="116"/>
        <item x="43"/>
        <item x="13"/>
        <item x="31"/>
        <item x="58"/>
        <item x="17"/>
        <item x="130"/>
        <item x="108"/>
        <item x="48"/>
        <item x="84"/>
        <item x="85"/>
        <item x="49"/>
        <item x="64"/>
        <item m="1" x="196"/>
        <item x="27"/>
        <item x="38"/>
        <item x="127"/>
        <item x="53"/>
        <item x="5"/>
        <item x="122"/>
        <item x="42"/>
        <item x="14"/>
        <item x="20"/>
        <item m="1" x="200"/>
        <item x="102"/>
        <item x="101"/>
        <item x="114"/>
        <item x="65"/>
        <item x="56"/>
        <item x="15"/>
        <item x="3"/>
        <item x="18"/>
        <item x="59"/>
        <item x="26"/>
        <item x="98"/>
        <item x="91"/>
        <item x="9"/>
        <item x="40"/>
        <item x="37"/>
        <item x="62"/>
        <item x="35"/>
        <item x="126"/>
        <item x="129"/>
        <item x="106"/>
        <item x="112"/>
        <item x="36"/>
        <item x="113"/>
        <item x="92"/>
        <item x="19"/>
        <item m="1" x="217"/>
        <item x="89"/>
        <item x="57"/>
        <item x="104"/>
        <item x="68"/>
        <item x="41"/>
        <item x="44"/>
        <item x="128"/>
        <item x="25"/>
        <item x="82"/>
        <item x="77"/>
        <item x="28"/>
        <item x="97"/>
        <item x="60"/>
        <item x="111"/>
        <item x="34"/>
        <item x="0"/>
        <item x="32"/>
        <item x="109"/>
        <item x="83"/>
        <item x="120"/>
        <item x="61"/>
        <item x="7"/>
        <item x="22"/>
        <item x="107"/>
        <item x="66"/>
        <item x="4"/>
        <item x="124"/>
        <item x="47"/>
        <item x="131"/>
        <item x="100"/>
        <item x="52"/>
        <item x="90"/>
        <item x="45"/>
        <item x="39"/>
        <item x="50"/>
        <item x="86"/>
        <item x="96"/>
        <item x="94"/>
        <item m="1" x="206"/>
        <item x="29"/>
        <item x="118"/>
        <item m="1" x="222"/>
        <item x="88"/>
        <item x="81"/>
        <item x="117"/>
        <item x="67"/>
        <item x="54"/>
        <item x="51"/>
        <item x="75"/>
        <item m="1" x="211"/>
        <item x="1"/>
        <item x="110"/>
        <item x="55"/>
        <item x="21"/>
        <item x="79"/>
        <item x="73"/>
        <item x="12"/>
        <item m="1" x="198"/>
        <item x="33"/>
        <item x="123"/>
        <item x="71"/>
        <item x="87"/>
        <item m="1" x="194"/>
        <item m="1" x="224"/>
        <item m="1" x="201"/>
        <item m="1" x="212"/>
        <item m="1" x="213"/>
        <item m="1" x="209"/>
        <item x="135"/>
        <item x="132"/>
        <item x="138"/>
        <item m="1" x="221"/>
        <item x="136"/>
        <item x="137"/>
        <item x="133"/>
        <item x="134"/>
        <item x="10"/>
        <item m="1" x="210"/>
        <item m="1" x="218"/>
        <item x="16"/>
        <item x="69"/>
        <item x="140"/>
        <item x="141"/>
        <item x="139"/>
        <item x="142"/>
        <item x="143"/>
        <item x="144"/>
        <item x="145"/>
        <item x="146"/>
        <item x="147"/>
        <item x="148"/>
        <item x="76"/>
        <item x="149"/>
        <item x="150"/>
        <item x="151"/>
        <item x="152"/>
        <item m="1" x="197"/>
        <item x="154"/>
        <item x="155"/>
        <item x="157"/>
        <item x="156"/>
        <item x="8"/>
        <item x="11"/>
        <item x="153"/>
        <item x="158"/>
        <item m="1" x="214"/>
        <item x="159"/>
        <item x="160"/>
        <item x="164"/>
        <item x="162"/>
        <item x="163"/>
        <item m="1" x="205"/>
        <item x="161"/>
        <item m="1" x="220"/>
        <item x="165"/>
        <item x="171"/>
        <item x="167"/>
        <item x="177"/>
        <item x="166"/>
        <item x="168"/>
        <item m="1" x="216"/>
        <item m="1" x="208"/>
        <item x="170"/>
        <item m="1" x="199"/>
        <item m="1" x="195"/>
        <item x="173"/>
        <item x="174"/>
        <item x="176"/>
        <item x="175"/>
        <item x="178"/>
        <item x="179"/>
        <item x="181"/>
        <item x="180"/>
        <item x="182"/>
        <item x="183"/>
        <item x="184"/>
        <item x="185"/>
        <item x="169"/>
        <item x="172"/>
        <item x="186"/>
        <item m="1" x="202"/>
        <item x="188"/>
        <item x="189"/>
        <item x="190"/>
        <item m="1" x="223"/>
        <item x="191"/>
        <item m="1" x="215"/>
        <item x="187"/>
        <item m="1" x="204"/>
        <item x="192"/>
        <item x="19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14">
        <item x="4"/>
        <item x="8"/>
        <item x="2"/>
        <item x="9"/>
        <item x="1"/>
        <item x="7"/>
        <item x="3"/>
        <item x="0"/>
        <item x="5"/>
        <item x="6"/>
        <item x="10"/>
        <item x="11"/>
        <item m="1" x="12"/>
        <item t="default"/>
      </items>
    </pivotField>
    <pivotField dataField="1" showAll="0"/>
    <pivotField dataField="1" showAll="0"/>
    <pivotField axis="axisPage" numFmtId="171" multipleItemSelectionAllowed="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Page" numFmtId="171" multipleItemSelectionAllowed="1" showAll="0">
      <items count="6">
        <item m="1" x="3"/>
        <item m="1" x="4"/>
        <item h="1" x="0"/>
        <item m="1" x="2"/>
        <item x="1"/>
        <item t="default"/>
      </items>
    </pivotField>
  </pivotFields>
  <rowFields count="3">
    <field x="3"/>
    <field x="7"/>
    <field x="6"/>
  </rowFields>
  <rowItems count="6">
    <i>
      <x v="2"/>
    </i>
    <i r="1">
      <x v="8"/>
    </i>
    <i r="2">
      <x v="177"/>
    </i>
    <i r="2">
      <x v="175"/>
    </i>
    <i r="2">
      <x v="176"/>
    </i>
    <i t="grand">
      <x/>
    </i>
  </rowItems>
  <colFields count="1">
    <field x="-2"/>
  </colFields>
  <colItems count="2">
    <i>
      <x/>
    </i>
    <i i="1">
      <x v="1"/>
    </i>
  </colItems>
  <pageFields count="2">
    <pageField fld="11" hier="-1"/>
    <pageField fld="10" hier="-1"/>
  </pageFields>
  <dataFields count="2">
    <dataField name="Soma de VGV" fld="8" baseField="0" baseItem="0" numFmtId="4"/>
    <dataField name="Soma de Vendas" fld="9" baseField="0" baseItem="0"/>
  </dataFields>
  <formats count="5">
    <format dxfId="159">
      <pivotArea collapsedLevelsAreSubtotals="1" fieldPosition="0">
        <references count="2">
          <reference field="4294967294" count="1" selected="0">
            <x v="0"/>
          </reference>
          <reference field="3" count="0"/>
        </references>
      </pivotArea>
    </format>
    <format dxfId="158">
      <pivotArea collapsedLevelsAreSubtotals="1" fieldPosition="0">
        <references count="3">
          <reference field="4294967294" count="1" selected="0">
            <x v="0"/>
          </reference>
          <reference field="3" count="0" selected="0"/>
          <reference field="7" count="1">
            <x v="8"/>
          </reference>
        </references>
      </pivotArea>
    </format>
    <format dxfId="157">
      <pivotArea collapsedLevelsAreSubtotals="1" fieldPosition="0">
        <references count="4">
          <reference field="4294967294" count="1" selected="0">
            <x v="0"/>
          </reference>
          <reference field="3" count="0" selected="0"/>
          <reference field="6" count="3">
            <x v="137"/>
            <x v="138"/>
            <x v="139"/>
          </reference>
          <reference field="7" count="1" selected="0">
            <x v="8"/>
          </reference>
        </references>
      </pivotArea>
    </format>
    <format dxfId="156">
      <pivotArea outline="0" fieldPosition="0">
        <references count="1">
          <reference field="4294967294" count="1">
            <x v="0"/>
          </reference>
        </references>
      </pivotArea>
    </format>
    <format dxfId="155">
      <pivotArea field="3" grandRow="1" outline="0" collapsedLevelsAreSubtotals="1" axis="axisRow" fieldPosition="0">
        <references count="1">
          <reference field="4294967294" count="1" selected="0">
            <x v="0"/>
          </reference>
        </references>
      </pivotArea>
    </format>
  </formats>
  <conditionalFormats count="4">
    <conditionalFormat priority="49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3" count="1" selected="0">
              <x v="2"/>
            </reference>
            <reference field="6" count="3">
              <x v="137"/>
              <x v="138"/>
              <x v="139"/>
            </reference>
            <reference field="7" count="1" selected="0">
              <x v="8"/>
            </reference>
          </references>
        </pivotArea>
      </pivotAreas>
    </conditionalFormat>
    <conditionalFormat priority="46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3" count="1" selected="0">
              <x v="2"/>
            </reference>
            <reference field="6" count="3">
              <x v="150"/>
              <x v="151"/>
              <x v="152"/>
            </reference>
            <reference field="7" count="1" selected="0">
              <x v="8"/>
            </reference>
          </references>
        </pivotArea>
      </pivotAreas>
    </conditionalFormat>
    <conditionalFormat priority="34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3" count="1" selected="0">
              <x v="2"/>
            </reference>
            <reference field="6" count="4">
              <x v="150"/>
              <x v="151"/>
              <x v="152"/>
              <x v="170"/>
            </reference>
            <reference field="7" count="1" selected="0">
              <x v="8"/>
            </reference>
          </references>
        </pivotArea>
      </pivotAreas>
    </conditionalFormat>
    <conditionalFormat priority="32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3" count="1" selected="0">
              <x v="2"/>
            </reference>
            <reference field="6" count="4">
              <x v="150"/>
              <x v="175"/>
              <x v="176"/>
              <x v="177"/>
            </reference>
            <reference field="7" count="1" selected="0">
              <x v="8"/>
            </reference>
          </references>
        </pivotArea>
      </pivotAreas>
    </conditionalFormat>
  </conditional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Medium2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Tabela dinâmica6" cacheId="11" applyNumberFormats="0" applyBorderFormats="0" applyFontFormats="0" applyPatternFormats="0" applyAlignmentFormats="0" applyWidthHeightFormats="1" dataCaption="Valores" updatedVersion="4" minRefreshableVersion="3" showCalcMbrs="0" useAutoFormatting="1" itemPrintTitles="1" createdVersion="3" indent="0" outline="1" outlineData="1" multipleFieldFilters="0" chartFormat="6">
  <location ref="A25:C29" firstHeaderRow="1" firstDataRow="2" firstDataCol="1" rowPageCount="2" colPageCount="1"/>
  <pivotFields count="12">
    <pivotField showAll="0"/>
    <pivotField showAll="0"/>
    <pivotField showAll="0"/>
    <pivotField axis="axisRow" showAll="0">
      <items count="8">
        <item h="1" x="0"/>
        <item x="2"/>
        <item h="1" x="1"/>
        <item h="1" m="1" x="3"/>
        <item h="1" m="1" x="6"/>
        <item h="1" m="1" x="4"/>
        <item h="1" m="1" x="5"/>
        <item t="default"/>
      </items>
    </pivotField>
    <pivotField showAll="0" defaultSubtotal="0"/>
    <pivotField showAll="0"/>
    <pivotField axis="axisRow" showAll="0" sortType="descending">
      <items count="226">
        <item x="74"/>
        <item x="121"/>
        <item x="93"/>
        <item x="2"/>
        <item m="1" x="207"/>
        <item x="99"/>
        <item x="46"/>
        <item x="138"/>
        <item x="136"/>
        <item x="125"/>
        <item x="103"/>
        <item x="78"/>
        <item x="80"/>
        <item x="23"/>
        <item x="105"/>
        <item x="63"/>
        <item m="1" x="219"/>
        <item x="6"/>
        <item m="1" x="203"/>
        <item x="119"/>
        <item x="72"/>
        <item x="70"/>
        <item x="30"/>
        <item x="95"/>
        <item x="115"/>
        <item x="24"/>
        <item x="116"/>
        <item x="43"/>
        <item x="13"/>
        <item x="31"/>
        <item x="58"/>
        <item x="17"/>
        <item x="130"/>
        <item x="108"/>
        <item x="48"/>
        <item x="84"/>
        <item x="85"/>
        <item x="49"/>
        <item x="133"/>
        <item x="64"/>
        <item m="1" x="196"/>
        <item x="134"/>
        <item x="27"/>
        <item x="38"/>
        <item x="127"/>
        <item x="53"/>
        <item x="5"/>
        <item x="122"/>
        <item x="42"/>
        <item x="14"/>
        <item x="20"/>
        <item m="1" x="200"/>
        <item x="102"/>
        <item x="101"/>
        <item x="114"/>
        <item x="65"/>
        <item x="56"/>
        <item x="15"/>
        <item x="3"/>
        <item x="18"/>
        <item m="1" x="221"/>
        <item x="59"/>
        <item x="26"/>
        <item x="98"/>
        <item x="91"/>
        <item x="9"/>
        <item x="40"/>
        <item x="37"/>
        <item x="135"/>
        <item x="62"/>
        <item x="35"/>
        <item x="132"/>
        <item x="126"/>
        <item m="1" x="210"/>
        <item m="1" x="218"/>
        <item x="10"/>
        <item x="69"/>
        <item x="16"/>
        <item m="1" x="209"/>
        <item m="1" x="224"/>
        <item m="1" x="201"/>
        <item m="1" x="212"/>
        <item m="1" x="213"/>
        <item x="129"/>
        <item x="106"/>
        <item x="112"/>
        <item x="36"/>
        <item x="113"/>
        <item x="92"/>
        <item x="19"/>
        <item m="1" x="217"/>
        <item x="89"/>
        <item x="57"/>
        <item x="104"/>
        <item x="68"/>
        <item x="41"/>
        <item x="44"/>
        <item x="128"/>
        <item x="25"/>
        <item x="82"/>
        <item x="77"/>
        <item x="28"/>
        <item x="97"/>
        <item x="60"/>
        <item x="111"/>
        <item x="34"/>
        <item x="0"/>
        <item x="32"/>
        <item x="109"/>
        <item x="83"/>
        <item x="120"/>
        <item x="61"/>
        <item x="7"/>
        <item x="22"/>
        <item x="107"/>
        <item x="66"/>
        <item x="4"/>
        <item x="124"/>
        <item x="47"/>
        <item x="131"/>
        <item x="100"/>
        <item x="52"/>
        <item x="90"/>
        <item x="45"/>
        <item x="39"/>
        <item x="50"/>
        <item x="86"/>
        <item x="96"/>
        <item x="94"/>
        <item m="1" x="206"/>
        <item x="29"/>
        <item x="118"/>
        <item m="1" x="222"/>
        <item x="88"/>
        <item x="81"/>
        <item x="117"/>
        <item x="137"/>
        <item x="67"/>
        <item x="54"/>
        <item x="51"/>
        <item x="75"/>
        <item m="1" x="211"/>
        <item x="1"/>
        <item x="110"/>
        <item x="55"/>
        <item x="21"/>
        <item x="79"/>
        <item x="73"/>
        <item x="12"/>
        <item m="1" x="198"/>
        <item x="33"/>
        <item x="123"/>
        <item x="71"/>
        <item x="87"/>
        <item m="1" x="194"/>
        <item x="140"/>
        <item x="141"/>
        <item x="139"/>
        <item x="142"/>
        <item x="143"/>
        <item x="144"/>
        <item x="145"/>
        <item x="146"/>
        <item x="147"/>
        <item x="148"/>
        <item x="76"/>
        <item x="149"/>
        <item x="150"/>
        <item x="151"/>
        <item x="152"/>
        <item m="1" x="197"/>
        <item x="154"/>
        <item x="155"/>
        <item x="157"/>
        <item x="156"/>
        <item x="8"/>
        <item x="11"/>
        <item x="153"/>
        <item x="158"/>
        <item m="1" x="214"/>
        <item x="159"/>
        <item x="160"/>
        <item x="164"/>
        <item x="162"/>
        <item x="163"/>
        <item m="1" x="205"/>
        <item x="161"/>
        <item m="1" x="220"/>
        <item x="165"/>
        <item x="171"/>
        <item x="167"/>
        <item x="177"/>
        <item x="166"/>
        <item x="168"/>
        <item m="1" x="216"/>
        <item m="1" x="208"/>
        <item x="170"/>
        <item m="1" x="199"/>
        <item m="1" x="195"/>
        <item x="173"/>
        <item x="174"/>
        <item x="176"/>
        <item x="175"/>
        <item x="178"/>
        <item x="179"/>
        <item x="181"/>
        <item x="180"/>
        <item x="182"/>
        <item x="183"/>
        <item x="184"/>
        <item x="185"/>
        <item x="169"/>
        <item x="172"/>
        <item x="186"/>
        <item m="1" x="202"/>
        <item x="188"/>
        <item x="189"/>
        <item x="190"/>
        <item m="1" x="223"/>
        <item x="191"/>
        <item m="1" x="215"/>
        <item x="187"/>
        <item m="1" x="204"/>
        <item x="192"/>
        <item x="19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dataField="1" showAll="0"/>
    <pivotField axis="axisPage" numFmtId="171" multipleItemSelectionAllowed="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Page" numFmtId="171" multipleItemSelectionAllowed="1" showAll="0">
      <items count="6">
        <item m="1" x="3"/>
        <item m="1" x="4"/>
        <item h="1" x="0"/>
        <item m="1" x="2"/>
        <item x="1"/>
        <item t="default"/>
      </items>
    </pivotField>
  </pivotFields>
  <rowFields count="2">
    <field x="3"/>
    <field x="6"/>
  </rowFields>
  <rowItems count="3">
    <i>
      <x v="1"/>
    </i>
    <i r="1">
      <x v="77"/>
    </i>
    <i t="grand">
      <x/>
    </i>
  </rowItems>
  <colFields count="1">
    <field x="-2"/>
  </colFields>
  <colItems count="2">
    <i>
      <x/>
    </i>
    <i i="1">
      <x v="1"/>
    </i>
  </colItems>
  <pageFields count="2">
    <pageField fld="11" hier="-1"/>
    <pageField fld="10" hier="-1"/>
  </pageFields>
  <dataFields count="2">
    <dataField name="Soma de VGV" fld="8" baseField="0" baseItem="0" numFmtId="4"/>
    <dataField name="Soma de Vendas" fld="9" baseField="0" baseItem="0"/>
  </dataFields>
  <formats count="2">
    <format dxfId="161">
      <pivotArea outline="0" fieldPosition="0">
        <references count="1">
          <reference field="4294967294" count="1">
            <x v="0"/>
          </reference>
        </references>
      </pivotArea>
    </format>
    <format dxfId="160">
      <pivotArea field="3" grandRow="1" outline="0" collapsedLevelsAreSubtotals="1" axis="axisRow" fieldPosition="0">
        <references count="1">
          <reference field="4294967294" count="1" selected="0">
            <x v="0"/>
          </reference>
        </references>
      </pivotArea>
    </format>
  </formats>
  <conditionalFormats count="2">
    <conditionalFormat priority="44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1"/>
            </reference>
            <reference field="6" count="2">
              <x v="76"/>
              <x v="77"/>
            </reference>
          </references>
        </pivotArea>
      </pivotAreas>
    </conditionalFormat>
    <conditionalFormat priority="4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1"/>
            </reference>
            <reference field="6" count="3">
              <x v="76"/>
              <x v="77"/>
              <x v="157"/>
            </reference>
          </references>
        </pivotArea>
      </pivotAreas>
    </conditionalFormat>
  </conditionalFormats>
  <chartFormats count="8">
    <chartFormat chart="1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Medium2"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Tabela dinâmica3" cacheId="11" applyNumberFormats="0" applyBorderFormats="0" applyFontFormats="0" applyPatternFormats="0" applyAlignmentFormats="0" applyWidthHeightFormats="1" dataCaption="Valores" updatedVersion="4" minRefreshableVersion="3" showCalcMbrs="0" useAutoFormatting="1" itemPrintTitles="1" createdVersion="3" indent="0" outline="1" outlineData="1" multipleFieldFilters="0">
  <location ref="T4:V29" firstHeaderRow="1" firstDataRow="2" firstDataCol="1" rowPageCount="2" colPageCount="1"/>
  <pivotFields count="12">
    <pivotField showAll="0"/>
    <pivotField showAll="0"/>
    <pivotField showAll="0"/>
    <pivotField axis="axisRow" showAll="0">
      <items count="8">
        <item x="0"/>
        <item m="1" x="4"/>
        <item x="2"/>
        <item x="1"/>
        <item m="1" x="6"/>
        <item m="1" x="5"/>
        <item m="1" x="3"/>
        <item t="default"/>
      </items>
    </pivotField>
    <pivotField axis="axisRow" showAll="0">
      <items count="5">
        <item x="0"/>
        <item x="2"/>
        <item x="1"/>
        <item m="1" x="3"/>
        <item t="default"/>
      </items>
    </pivotField>
    <pivotField axis="axisPage" multipleItemSelectionAllowed="1" showAll="0">
      <items count="271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m="1" x="268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1"/>
        <item h="1" x="150"/>
        <item h="1" x="152"/>
        <item h="1" x="153"/>
        <item h="1" x="154"/>
        <item h="1" x="156"/>
        <item h="1" x="155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9"/>
        <item h="1" x="190"/>
        <item h="1" x="191"/>
        <item h="1" x="192"/>
        <item h="1" x="195"/>
        <item h="1" x="194"/>
        <item h="1" x="196"/>
        <item h="1" x="197"/>
        <item h="1" x="198"/>
        <item h="1" x="199"/>
        <item h="1" x="200"/>
        <item h="1" x="201"/>
        <item h="1" x="207"/>
        <item h="1" x="202"/>
        <item h="1" x="204"/>
        <item h="1" x="205"/>
        <item h="1" x="203"/>
        <item h="1" x="208"/>
        <item h="1" x="206"/>
        <item h="1" m="1" x="269"/>
        <item h="1" x="211"/>
        <item h="1" x="193"/>
        <item h="1" x="209"/>
        <item h="1" x="210"/>
        <item h="1" x="212"/>
        <item h="1" x="213"/>
        <item h="1" x="214"/>
        <item h="1" x="215"/>
        <item h="1" x="219"/>
        <item h="1" x="220"/>
        <item h="1" x="216"/>
        <item h="1" x="218"/>
        <item h="1" x="217"/>
        <item h="1" x="221"/>
        <item h="1" x="222"/>
        <item h="1" x="223"/>
        <item h="1" x="224"/>
        <item h="1" x="225"/>
        <item h="1" x="226"/>
        <item h="1" x="228"/>
        <item h="1" x="227"/>
        <item h="1" x="229"/>
        <item h="1" x="230"/>
        <item h="1" x="231"/>
        <item h="1" x="232"/>
        <item h="1" x="233"/>
        <item h="1" x="234"/>
        <item h="1" x="188"/>
        <item h="1" x="235"/>
        <item h="1" x="236"/>
        <item h="1" x="238"/>
        <item h="1" x="237"/>
        <item h="1" x="239"/>
        <item h="1" x="240"/>
        <item h="1" x="241"/>
        <item h="1" x="242"/>
        <item h="1" x="243"/>
        <item h="1" x="244"/>
        <item h="1" x="245"/>
        <item h="1" x="246"/>
        <item h="1" x="247"/>
        <item h="1" x="248"/>
        <item h="1" x="249"/>
        <item h="1" x="250"/>
        <item h="1" x="251"/>
        <item h="1" x="252"/>
        <item h="1" x="253"/>
        <item h="1" x="254"/>
        <item h="1" x="255"/>
        <item h="1" x="257"/>
        <item h="1" x="258"/>
        <item h="1" x="256"/>
        <item h="1" x="259"/>
        <item h="1" x="260"/>
        <item h="1" x="261"/>
        <item h="1" x="263"/>
        <item h="1" x="262"/>
        <item h="1" x="264"/>
        <item h="1" x="265"/>
        <item h="1" x="266"/>
        <item h="1" x="267"/>
        <item t="default"/>
      </items>
    </pivotField>
    <pivotField showAll="0"/>
    <pivotField axis="axisRow" showAll="0" sortType="descending">
      <items count="14">
        <item x="4"/>
        <item x="5"/>
        <item x="8"/>
        <item x="2"/>
        <item x="6"/>
        <item x="9"/>
        <item x="1"/>
        <item x="7"/>
        <item x="3"/>
        <item x="0"/>
        <item x="10"/>
        <item x="11"/>
        <item m="1" x="1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dataField="1" showAll="0"/>
    <pivotField axis="axisPage" multipleItemSelectionAllowed="1" showAll="0">
      <items count="13">
        <item h="1" x="0"/>
        <item h="1" x="1"/>
        <item h="1" x="2"/>
        <item h="1" x="3"/>
        <item h="1" x="4"/>
        <item h="1" x="5"/>
        <item x="6"/>
        <item h="1" x="7"/>
        <item h="1" x="8"/>
        <item h="1" x="9"/>
        <item h="1" x="10"/>
        <item h="1" x="11"/>
        <item t="default"/>
      </items>
    </pivotField>
    <pivotField showAll="0"/>
  </pivotFields>
  <rowFields count="3">
    <field x="3"/>
    <field x="4"/>
    <field x="7"/>
  </rowFields>
  <rowItems count="24">
    <i>
      <x/>
    </i>
    <i r="1">
      <x/>
    </i>
    <i r="2">
      <x v="3"/>
    </i>
    <i r="2">
      <x v="9"/>
    </i>
    <i r="2">
      <x v="8"/>
    </i>
    <i r="2">
      <x/>
    </i>
    <i r="2">
      <x v="6"/>
    </i>
    <i r="2">
      <x v="5"/>
    </i>
    <i r="1">
      <x v="1"/>
    </i>
    <i r="2">
      <x v="3"/>
    </i>
    <i r="2">
      <x v="6"/>
    </i>
    <i r="2">
      <x/>
    </i>
    <i r="2">
      <x v="2"/>
    </i>
    <i r="2">
      <x v="8"/>
    </i>
    <i r="2">
      <x v="9"/>
    </i>
    <i>
      <x v="2"/>
    </i>
    <i r="1">
      <x v="2"/>
    </i>
    <i r="2">
      <x v="4"/>
    </i>
    <i>
      <x v="3"/>
    </i>
    <i r="1">
      <x/>
    </i>
    <i r="2">
      <x v="1"/>
    </i>
    <i r="1">
      <x v="1"/>
    </i>
    <i r="2">
      <x v="1"/>
    </i>
    <i t="grand">
      <x/>
    </i>
  </rowItems>
  <colFields count="1">
    <field x="-2"/>
  </colFields>
  <colItems count="2">
    <i>
      <x/>
    </i>
    <i i="1">
      <x v="1"/>
    </i>
  </colItems>
  <pageFields count="2">
    <pageField fld="5" hier="-1"/>
    <pageField fld="10" hier="-1"/>
  </pageFields>
  <dataFields count="2">
    <dataField name="Soma de VGV" fld="8" baseField="0" baseItem="0"/>
    <dataField name="Soma de Vendas" fld="9" baseField="0" baseItem="0"/>
  </dataFields>
  <formats count="13">
    <format dxfId="133">
      <pivotArea collapsedLevelsAreSubtotals="1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32">
      <pivotArea collapsedLevelsAreSubtotals="1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  <reference field="7" count="6">
            <x v="0"/>
            <x v="3"/>
            <x v="5"/>
            <x v="6"/>
            <x v="8"/>
            <x v="9"/>
          </reference>
        </references>
      </pivotArea>
    </format>
    <format dxfId="131">
      <pivotArea collapsedLevelsAreSubtotals="1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30">
      <pivotArea collapsedLevelsAreSubtotals="1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1"/>
          </reference>
          <reference field="7" count="6">
            <x v="0"/>
            <x v="2"/>
            <x v="3"/>
            <x v="6"/>
            <x v="8"/>
            <x v="9"/>
          </reference>
        </references>
      </pivotArea>
    </format>
    <format dxfId="129">
      <pivotArea collapsedLevelsAreSubtotals="1" fieldPosition="0">
        <references count="2">
          <reference field="4294967294" count="1" selected="0">
            <x v="0"/>
          </reference>
          <reference field="3" count="1">
            <x v="2"/>
          </reference>
        </references>
      </pivotArea>
    </format>
    <format dxfId="128">
      <pivotArea collapsedLevelsAreSubtotals="1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4" count="1">
            <x v="2"/>
          </reference>
        </references>
      </pivotArea>
    </format>
    <format dxfId="127">
      <pivotArea collapsedLevelsAreSubtotals="1" fieldPosition="0">
        <references count="4">
          <reference field="4294967294" count="1" selected="0">
            <x v="0"/>
          </reference>
          <reference field="3" count="1" selected="0">
            <x v="2"/>
          </reference>
          <reference field="4" count="1" selected="0">
            <x v="2"/>
          </reference>
          <reference field="7" count="1">
            <x v="4"/>
          </reference>
        </references>
      </pivotArea>
    </format>
    <format dxfId="126">
      <pivotArea collapsedLevelsAreSubtotals="1" fieldPosition="0">
        <references count="2">
          <reference field="4294967294" count="1" selected="0">
            <x v="0"/>
          </reference>
          <reference field="3" count="1">
            <x v="3"/>
          </reference>
        </references>
      </pivotArea>
    </format>
    <format dxfId="125">
      <pivotArea collapsedLevelsAreSubtotals="1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4" count="1">
            <x v="0"/>
          </reference>
        </references>
      </pivotArea>
    </format>
    <format dxfId="124">
      <pivotArea collapsedLevelsAreSubtotals="1" fieldPosition="0">
        <references count="4">
          <reference field="4294967294" count="1" selected="0">
            <x v="0"/>
          </reference>
          <reference field="3" count="1" selected="0">
            <x v="3"/>
          </reference>
          <reference field="4" count="1" selected="0">
            <x v="0"/>
          </reference>
          <reference field="7" count="1">
            <x v="1"/>
          </reference>
        </references>
      </pivotArea>
    </format>
    <format dxfId="123">
      <pivotArea collapsedLevelsAreSubtotals="1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4" count="1">
            <x v="1"/>
          </reference>
        </references>
      </pivotArea>
    </format>
    <format dxfId="122">
      <pivotArea collapsedLevelsAreSubtotals="1" fieldPosition="0">
        <references count="4">
          <reference field="4294967294" count="1" selected="0">
            <x v="0"/>
          </reference>
          <reference field="3" count="1" selected="0">
            <x v="3"/>
          </reference>
          <reference field="4" count="1" selected="0">
            <x v="1"/>
          </reference>
          <reference field="7" count="1">
            <x v="1"/>
          </reference>
        </references>
      </pivotArea>
    </format>
    <format dxfId="121">
      <pivotArea field="3" grandRow="1" outline="0" collapsedLevelsAreSubtotals="1" axis="axisRow" fieldPosition="0">
        <references count="1">
          <reference field="4294967294" count="1" selected="0">
            <x v="0"/>
          </reference>
        </references>
      </pivotArea>
    </format>
  </formats>
  <pivotTableStyleInfo name="PivotStyleMedium2"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Tabela dinâmica7" cacheId="11" applyNumberFormats="0" applyBorderFormats="0" applyFontFormats="0" applyPatternFormats="0" applyAlignmentFormats="0" applyWidthHeightFormats="1" dataCaption="Valores" updatedVersion="4" minRefreshableVersion="3" showCalcMbrs="0" useAutoFormatting="1" itemPrintTitles="1" createdVersion="3" indent="0" outline="1" outlineData="1" multipleFieldFilters="0">
  <location ref="N4:Q59" firstHeaderRow="1" firstDataRow="2" firstDataCol="1" rowPageCount="2" colPageCount="1"/>
  <pivotFields count="12">
    <pivotField showAll="0"/>
    <pivotField showAll="0"/>
    <pivotField showAll="0"/>
    <pivotField axis="axisRow" showAll="0">
      <items count="8">
        <item x="0"/>
        <item m="1" x="4"/>
        <item x="2"/>
        <item x="1"/>
        <item m="1" x="6"/>
        <item m="1" x="5"/>
        <item m="1" x="3"/>
        <item t="default"/>
      </items>
    </pivotField>
    <pivotField axis="axisRow" showAll="0">
      <items count="5">
        <item x="0"/>
        <item x="2"/>
        <item x="1"/>
        <item m="1" x="3"/>
        <item t="default"/>
      </items>
    </pivotField>
    <pivotField axis="axisPage" multipleItemSelectionAllowed="1" showAll="0">
      <items count="271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m="1" x="268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h="1" x="95"/>
        <item x="133"/>
        <item x="134"/>
        <item x="135"/>
        <item x="137"/>
        <item x="136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1"/>
        <item h="1" x="150"/>
        <item h="1" x="152"/>
        <item h="1" x="153"/>
        <item h="1" x="154"/>
        <item h="1" x="156"/>
        <item h="1" x="155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9"/>
        <item h="1" x="190"/>
        <item h="1" x="191"/>
        <item h="1" x="192"/>
        <item h="1" x="195"/>
        <item h="1" x="194"/>
        <item h="1" x="196"/>
        <item h="1" x="197"/>
        <item h="1" x="198"/>
        <item h="1" x="199"/>
        <item h="1" x="200"/>
        <item h="1" x="201"/>
        <item h="1" x="207"/>
        <item h="1" x="202"/>
        <item h="1" x="204"/>
        <item h="1" x="205"/>
        <item h="1" x="203"/>
        <item h="1" x="208"/>
        <item h="1" x="206"/>
        <item h="1" m="1" x="269"/>
        <item h="1" x="211"/>
        <item h="1" x="193"/>
        <item h="1" x="209"/>
        <item h="1" x="210"/>
        <item h="1" x="212"/>
        <item h="1" x="213"/>
        <item h="1" x="214"/>
        <item h="1" x="215"/>
        <item h="1" x="219"/>
        <item h="1" x="220"/>
        <item h="1" x="216"/>
        <item h="1" x="218"/>
        <item h="1" x="217"/>
        <item h="1" x="221"/>
        <item h="1" x="222"/>
        <item h="1" x="223"/>
        <item h="1" x="224"/>
        <item h="1" x="225"/>
        <item h="1" x="226"/>
        <item h="1" x="228"/>
        <item h="1" x="227"/>
        <item h="1" x="229"/>
        <item h="1" x="230"/>
        <item h="1" x="231"/>
        <item h="1" x="232"/>
        <item h="1" x="233"/>
        <item h="1" x="234"/>
        <item h="1" x="188"/>
        <item h="1" x="235"/>
        <item h="1" x="236"/>
        <item h="1" x="238"/>
        <item h="1" x="237"/>
        <item h="1" x="239"/>
        <item h="1" x="240"/>
        <item h="1" x="241"/>
        <item h="1" x="242"/>
        <item h="1" x="243"/>
        <item h="1" x="244"/>
        <item h="1" x="245"/>
        <item h="1" x="246"/>
        <item h="1" x="247"/>
        <item h="1" x="248"/>
        <item h="1" x="249"/>
        <item h="1" x="250"/>
        <item h="1" x="251"/>
        <item h="1" x="252"/>
        <item h="1" x="253"/>
        <item h="1" x="254"/>
        <item h="1" x="255"/>
        <item h="1" x="257"/>
        <item h="1" x="258"/>
        <item h="1" x="256"/>
        <item h="1" x="259"/>
        <item h="1" x="260"/>
        <item h="1" x="261"/>
        <item h="1" x="263"/>
        <item h="1" x="262"/>
        <item h="1" x="264"/>
        <item h="1" x="265"/>
        <item h="1" x="266"/>
        <item h="1" x="267"/>
        <item t="default"/>
      </items>
    </pivotField>
    <pivotField axis="axisRow" showAll="0" sortType="descending">
      <items count="226">
        <item x="74"/>
        <item x="121"/>
        <item x="93"/>
        <item x="2"/>
        <item m="1" x="207"/>
        <item x="99"/>
        <item x="46"/>
        <item x="138"/>
        <item x="136"/>
        <item x="125"/>
        <item x="103"/>
        <item x="78"/>
        <item x="80"/>
        <item x="23"/>
        <item x="105"/>
        <item x="63"/>
        <item m="1" x="219"/>
        <item x="6"/>
        <item m="1" x="203"/>
        <item x="119"/>
        <item x="72"/>
        <item x="70"/>
        <item x="30"/>
        <item x="95"/>
        <item x="115"/>
        <item x="24"/>
        <item x="116"/>
        <item x="43"/>
        <item x="13"/>
        <item x="31"/>
        <item x="58"/>
        <item x="17"/>
        <item x="130"/>
        <item x="108"/>
        <item x="48"/>
        <item x="84"/>
        <item x="85"/>
        <item x="49"/>
        <item x="133"/>
        <item x="64"/>
        <item m="1" x="196"/>
        <item x="134"/>
        <item x="27"/>
        <item x="38"/>
        <item x="127"/>
        <item x="53"/>
        <item x="5"/>
        <item x="122"/>
        <item x="42"/>
        <item x="14"/>
        <item x="20"/>
        <item m="1" x="200"/>
        <item x="102"/>
        <item x="101"/>
        <item x="114"/>
        <item x="65"/>
        <item x="56"/>
        <item x="15"/>
        <item x="3"/>
        <item x="18"/>
        <item m="1" x="221"/>
        <item x="59"/>
        <item x="26"/>
        <item x="98"/>
        <item x="91"/>
        <item x="9"/>
        <item x="40"/>
        <item x="37"/>
        <item x="135"/>
        <item x="62"/>
        <item x="35"/>
        <item x="132"/>
        <item x="126"/>
        <item m="1" x="210"/>
        <item m="1" x="218"/>
        <item x="10"/>
        <item x="69"/>
        <item x="16"/>
        <item m="1" x="209"/>
        <item m="1" x="224"/>
        <item m="1" x="201"/>
        <item m="1" x="212"/>
        <item m="1" x="213"/>
        <item x="129"/>
        <item x="106"/>
        <item x="112"/>
        <item x="36"/>
        <item x="113"/>
        <item x="92"/>
        <item x="19"/>
        <item m="1" x="217"/>
        <item x="89"/>
        <item x="57"/>
        <item x="104"/>
        <item x="68"/>
        <item x="41"/>
        <item x="44"/>
        <item x="128"/>
        <item x="25"/>
        <item x="82"/>
        <item x="77"/>
        <item x="28"/>
        <item x="97"/>
        <item x="60"/>
        <item x="111"/>
        <item x="34"/>
        <item x="0"/>
        <item x="32"/>
        <item x="109"/>
        <item x="83"/>
        <item x="120"/>
        <item x="61"/>
        <item x="7"/>
        <item x="22"/>
        <item x="107"/>
        <item x="66"/>
        <item x="4"/>
        <item x="124"/>
        <item x="47"/>
        <item x="131"/>
        <item x="100"/>
        <item x="52"/>
        <item x="90"/>
        <item x="45"/>
        <item x="39"/>
        <item x="50"/>
        <item x="86"/>
        <item x="96"/>
        <item x="94"/>
        <item m="1" x="206"/>
        <item x="29"/>
        <item x="118"/>
        <item m="1" x="222"/>
        <item x="88"/>
        <item x="81"/>
        <item x="117"/>
        <item x="137"/>
        <item x="67"/>
        <item x="54"/>
        <item x="51"/>
        <item x="75"/>
        <item m="1" x="211"/>
        <item x="1"/>
        <item x="110"/>
        <item x="55"/>
        <item x="21"/>
        <item x="79"/>
        <item x="73"/>
        <item x="12"/>
        <item m="1" x="198"/>
        <item x="33"/>
        <item x="123"/>
        <item x="71"/>
        <item x="87"/>
        <item m="1" x="194"/>
        <item x="140"/>
        <item x="141"/>
        <item x="139"/>
        <item x="142"/>
        <item x="143"/>
        <item x="144"/>
        <item x="145"/>
        <item x="146"/>
        <item x="147"/>
        <item x="148"/>
        <item x="76"/>
        <item x="149"/>
        <item x="150"/>
        <item x="151"/>
        <item x="152"/>
        <item m="1" x="197"/>
        <item x="154"/>
        <item x="155"/>
        <item x="157"/>
        <item x="156"/>
        <item x="8"/>
        <item x="11"/>
        <item x="153"/>
        <item x="158"/>
        <item m="1" x="214"/>
        <item x="159"/>
        <item x="160"/>
        <item x="164"/>
        <item x="162"/>
        <item x="163"/>
        <item m="1" x="205"/>
        <item x="161"/>
        <item m="1" x="220"/>
        <item x="165"/>
        <item x="171"/>
        <item x="167"/>
        <item x="177"/>
        <item x="166"/>
        <item x="168"/>
        <item m="1" x="216"/>
        <item m="1" x="208"/>
        <item x="170"/>
        <item m="1" x="199"/>
        <item m="1" x="195"/>
        <item x="173"/>
        <item x="174"/>
        <item x="176"/>
        <item x="175"/>
        <item x="178"/>
        <item x="179"/>
        <item x="181"/>
        <item x="180"/>
        <item x="182"/>
        <item x="183"/>
        <item x="184"/>
        <item x="185"/>
        <item x="169"/>
        <item x="172"/>
        <item x="186"/>
        <item m="1" x="202"/>
        <item x="188"/>
        <item x="189"/>
        <item x="190"/>
        <item m="1" x="223"/>
        <item x="191"/>
        <item m="1" x="215"/>
        <item x="187"/>
        <item m="1" x="204"/>
        <item x="192"/>
        <item x="193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dataField="1" showAll="0"/>
    <pivotField dataField="1" showAll="0"/>
    <pivotField dataField="1" showAll="0"/>
    <pivotField axis="axisPage" multipleItemSelectionAllowed="1" showAll="0">
      <items count="13">
        <item h="1" x="0"/>
        <item h="1" x="1"/>
        <item h="1" x="2"/>
        <item h="1" x="3"/>
        <item h="1" x="4"/>
        <item x="5"/>
        <item x="6"/>
        <item h="1" x="7"/>
        <item h="1" x="8"/>
        <item h="1" x="9"/>
        <item h="1" x="10"/>
        <item h="1" x="11"/>
        <item t="default"/>
      </items>
    </pivotField>
    <pivotField showAll="0"/>
  </pivotFields>
  <rowFields count="3">
    <field x="3"/>
    <field x="4"/>
    <field x="6"/>
  </rowFields>
  <rowItems count="54">
    <i>
      <x/>
    </i>
    <i r="1">
      <x/>
    </i>
    <i r="2">
      <x v="42"/>
    </i>
    <i r="2">
      <x v="156"/>
    </i>
    <i r="2">
      <x v="61"/>
    </i>
    <i r="2">
      <x v="158"/>
    </i>
    <i r="2">
      <x v="106"/>
    </i>
    <i r="2">
      <x v="126"/>
    </i>
    <i r="2">
      <x v="121"/>
    </i>
    <i r="2">
      <x v="109"/>
    </i>
    <i r="2">
      <x v="125"/>
    </i>
    <i r="2">
      <x v="71"/>
    </i>
    <i r="2">
      <x v="3"/>
    </i>
    <i r="2">
      <x v="123"/>
    </i>
    <i r="2">
      <x v="8"/>
    </i>
    <i r="2">
      <x v="136"/>
    </i>
    <i r="2">
      <x v="57"/>
    </i>
    <i r="1">
      <x v="1"/>
    </i>
    <i r="2">
      <x v="85"/>
    </i>
    <i r="2">
      <x v="43"/>
    </i>
    <i r="2">
      <x v="126"/>
    </i>
    <i r="2">
      <x v="1"/>
    </i>
    <i r="2">
      <x v="133"/>
    </i>
    <i r="2">
      <x v="103"/>
    </i>
    <i r="2">
      <x v="83"/>
    </i>
    <i r="2">
      <x v="44"/>
    </i>
    <i r="2">
      <x v="155"/>
    </i>
    <i r="2">
      <x v="24"/>
    </i>
    <i r="2">
      <x v="41"/>
    </i>
    <i r="2">
      <x v="134"/>
    </i>
    <i r="2">
      <x v="55"/>
    </i>
    <i r="2">
      <x v="38"/>
    </i>
    <i r="2">
      <x v="7"/>
    </i>
    <i r="2">
      <x v="118"/>
    </i>
    <i r="2">
      <x v="123"/>
    </i>
    <i r="2">
      <x v="111"/>
    </i>
    <i r="2">
      <x v="26"/>
    </i>
    <i r="2">
      <x v="135"/>
    </i>
    <i r="2">
      <x v="68"/>
    </i>
    <i>
      <x v="2"/>
    </i>
    <i r="1">
      <x v="2"/>
    </i>
    <i r="2">
      <x v="77"/>
    </i>
    <i r="2">
      <x v="157"/>
    </i>
    <i r="2">
      <x v="76"/>
    </i>
    <i>
      <x v="3"/>
    </i>
    <i r="1">
      <x/>
    </i>
    <i r="2">
      <x v="176"/>
    </i>
    <i r="2">
      <x v="175"/>
    </i>
    <i r="2">
      <x v="75"/>
    </i>
    <i r="1">
      <x v="1"/>
    </i>
    <i r="2">
      <x v="75"/>
    </i>
    <i r="2">
      <x v="175"/>
    </i>
    <i r="2">
      <x v="176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5" hier="-1"/>
    <pageField fld="10" hier="-1"/>
  </pageFields>
  <dataFields count="3">
    <dataField name="Soma de Gerente" fld="7" baseField="0" baseItem="0"/>
    <dataField name="Soma de VGV" fld="8" baseField="0" baseItem="0"/>
    <dataField name="Soma de Vendas" fld="9" baseField="0" baseItem="0"/>
  </dataFields>
  <formats count="1">
    <format dxfId="134">
      <pivotArea outline="0" collapsedLevelsAreSubtotals="1" fieldPosition="0"/>
    </format>
  </formats>
  <pivotTableStyleInfo name="PivotStyleMedium2"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name="Tabela dinâmica2" cacheId="11" applyNumberFormats="0" applyBorderFormats="0" applyFontFormats="0" applyPatternFormats="0" applyAlignmentFormats="0" applyWidthHeightFormats="1" dataCaption="Valores" updatedVersion="4" minRefreshableVersion="3" showCalcMbrs="0" useAutoFormatting="1" itemPrintTitles="1" createdVersion="3" indent="0" outline="1" outlineData="1" multipleFieldFilters="0">
  <location ref="H3:J538" firstHeaderRow="1" firstDataRow="2" firstDataCol="1" rowPageCount="1" colPageCount="1"/>
  <pivotFields count="12">
    <pivotField showAll="0"/>
    <pivotField showAll="0"/>
    <pivotField showAll="0"/>
    <pivotField axis="axisPage" multipleItemSelectionAllowed="1" showAll="0">
      <items count="8">
        <item x="0"/>
        <item h="1" x="2"/>
        <item h="1" x="1"/>
        <item h="1" m="1" x="3"/>
        <item h="1" m="1" x="6"/>
        <item h="1" m="1" x="4"/>
        <item h="1" m="1" x="5"/>
        <item t="default"/>
      </items>
    </pivotField>
    <pivotField showAll="0" defaultSubtotal="0"/>
    <pivotField showAll="0"/>
    <pivotField axis="axisRow" showAll="0">
      <items count="226">
        <item x="74"/>
        <item x="121"/>
        <item x="93"/>
        <item x="2"/>
        <item m="1" x="207"/>
        <item x="99"/>
        <item x="46"/>
        <item x="125"/>
        <item x="103"/>
        <item x="78"/>
        <item x="80"/>
        <item x="23"/>
        <item x="105"/>
        <item x="63"/>
        <item m="1" x="219"/>
        <item x="6"/>
        <item m="1" x="203"/>
        <item x="119"/>
        <item x="72"/>
        <item x="70"/>
        <item x="30"/>
        <item x="95"/>
        <item x="115"/>
        <item x="24"/>
        <item x="116"/>
        <item x="43"/>
        <item x="13"/>
        <item x="31"/>
        <item x="58"/>
        <item x="17"/>
        <item x="130"/>
        <item x="108"/>
        <item x="48"/>
        <item x="84"/>
        <item x="85"/>
        <item x="49"/>
        <item x="64"/>
        <item m="1" x="196"/>
        <item x="27"/>
        <item x="38"/>
        <item x="127"/>
        <item x="53"/>
        <item x="5"/>
        <item x="122"/>
        <item x="42"/>
        <item x="14"/>
        <item x="20"/>
        <item m="1" x="200"/>
        <item x="102"/>
        <item x="101"/>
        <item x="114"/>
        <item x="65"/>
        <item x="56"/>
        <item x="15"/>
        <item x="3"/>
        <item x="18"/>
        <item x="59"/>
        <item x="26"/>
        <item x="98"/>
        <item x="91"/>
        <item x="9"/>
        <item x="40"/>
        <item x="37"/>
        <item x="62"/>
        <item x="35"/>
        <item x="126"/>
        <item x="129"/>
        <item x="106"/>
        <item x="112"/>
        <item x="36"/>
        <item x="113"/>
        <item x="92"/>
        <item x="19"/>
        <item m="1" x="217"/>
        <item x="89"/>
        <item x="57"/>
        <item x="104"/>
        <item x="68"/>
        <item x="41"/>
        <item x="44"/>
        <item x="128"/>
        <item x="25"/>
        <item x="82"/>
        <item x="77"/>
        <item x="28"/>
        <item x="97"/>
        <item x="60"/>
        <item x="111"/>
        <item x="34"/>
        <item x="0"/>
        <item x="32"/>
        <item x="109"/>
        <item x="83"/>
        <item x="120"/>
        <item x="61"/>
        <item x="7"/>
        <item x="22"/>
        <item x="107"/>
        <item x="66"/>
        <item x="4"/>
        <item x="124"/>
        <item x="47"/>
        <item x="131"/>
        <item x="100"/>
        <item x="52"/>
        <item x="90"/>
        <item x="45"/>
        <item x="39"/>
        <item x="50"/>
        <item x="86"/>
        <item x="96"/>
        <item x="94"/>
        <item m="1" x="206"/>
        <item x="29"/>
        <item x="118"/>
        <item m="1" x="222"/>
        <item x="88"/>
        <item x="81"/>
        <item x="117"/>
        <item x="67"/>
        <item x="54"/>
        <item x="51"/>
        <item x="75"/>
        <item m="1" x="211"/>
        <item x="1"/>
        <item x="110"/>
        <item x="55"/>
        <item x="21"/>
        <item x="79"/>
        <item x="73"/>
        <item x="12"/>
        <item m="1" x="198"/>
        <item x="33"/>
        <item x="123"/>
        <item x="71"/>
        <item x="87"/>
        <item m="1" x="194"/>
        <item m="1" x="224"/>
        <item m="1" x="201"/>
        <item m="1" x="212"/>
        <item m="1" x="213"/>
        <item m="1" x="209"/>
        <item x="135"/>
        <item x="132"/>
        <item x="138"/>
        <item m="1" x="221"/>
        <item x="136"/>
        <item x="137"/>
        <item x="133"/>
        <item x="134"/>
        <item x="10"/>
        <item m="1" x="210"/>
        <item m="1" x="218"/>
        <item x="16"/>
        <item x="69"/>
        <item x="140"/>
        <item x="141"/>
        <item x="139"/>
        <item x="142"/>
        <item x="143"/>
        <item x="144"/>
        <item x="145"/>
        <item x="146"/>
        <item x="147"/>
        <item x="148"/>
        <item x="76"/>
        <item x="149"/>
        <item x="150"/>
        <item x="151"/>
        <item x="152"/>
        <item m="1" x="197"/>
        <item x="154"/>
        <item x="155"/>
        <item x="157"/>
        <item x="156"/>
        <item x="8"/>
        <item x="11"/>
        <item x="153"/>
        <item x="158"/>
        <item m="1" x="214"/>
        <item x="159"/>
        <item x="160"/>
        <item x="164"/>
        <item x="162"/>
        <item x="163"/>
        <item m="1" x="205"/>
        <item x="161"/>
        <item m="1" x="220"/>
        <item x="165"/>
        <item x="171"/>
        <item x="167"/>
        <item x="177"/>
        <item x="166"/>
        <item x="168"/>
        <item m="1" x="216"/>
        <item m="1" x="208"/>
        <item x="170"/>
        <item m="1" x="199"/>
        <item m="1" x="195"/>
        <item x="173"/>
        <item x="174"/>
        <item x="176"/>
        <item x="175"/>
        <item x="178"/>
        <item x="179"/>
        <item x="181"/>
        <item x="180"/>
        <item x="182"/>
        <item x="183"/>
        <item x="184"/>
        <item x="185"/>
        <item x="169"/>
        <item x="172"/>
        <item x="186"/>
        <item m="1" x="202"/>
        <item x="188"/>
        <item x="189"/>
        <item x="190"/>
        <item m="1" x="223"/>
        <item x="191"/>
        <item m="1" x="215"/>
        <item x="187"/>
        <item m="1" x="204"/>
        <item x="192"/>
        <item x="193"/>
        <item t="default"/>
      </items>
    </pivotField>
    <pivotField showAll="0"/>
    <pivotField dataField="1" showAll="0"/>
    <pivotField dataField="1" showAll="0"/>
    <pivotField axis="axisRow" numFmtId="17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numFmtId="171" showAll="0">
      <items count="6">
        <item m="1" x="3"/>
        <item x="0"/>
        <item m="1" x="4"/>
        <item m="1" x="2"/>
        <item x="1"/>
        <item t="default"/>
      </items>
    </pivotField>
  </pivotFields>
  <rowFields count="3">
    <field x="11"/>
    <field x="10"/>
    <field x="6"/>
  </rowFields>
  <rowItems count="534">
    <i>
      <x v="1"/>
    </i>
    <i r="1">
      <x/>
    </i>
    <i r="2">
      <x v="3"/>
    </i>
    <i r="2">
      <x v="15"/>
    </i>
    <i r="2">
      <x v="26"/>
    </i>
    <i r="2">
      <x v="29"/>
    </i>
    <i r="2">
      <x v="42"/>
    </i>
    <i r="2">
      <x v="45"/>
    </i>
    <i r="2">
      <x v="53"/>
    </i>
    <i r="2">
      <x v="54"/>
    </i>
    <i r="2">
      <x v="55"/>
    </i>
    <i r="2">
      <x v="60"/>
    </i>
    <i r="2">
      <x v="89"/>
    </i>
    <i r="2">
      <x v="95"/>
    </i>
    <i r="2">
      <x v="99"/>
    </i>
    <i r="2">
      <x v="124"/>
    </i>
    <i r="2">
      <x v="130"/>
    </i>
    <i r="1">
      <x v="1"/>
    </i>
    <i r="2">
      <x v="11"/>
    </i>
    <i r="2">
      <x v="20"/>
    </i>
    <i r="2">
      <x v="23"/>
    </i>
    <i r="2">
      <x v="27"/>
    </i>
    <i r="2">
      <x v="29"/>
    </i>
    <i r="2">
      <x v="38"/>
    </i>
    <i r="2">
      <x v="46"/>
    </i>
    <i r="2">
      <x v="57"/>
    </i>
    <i r="2">
      <x v="60"/>
    </i>
    <i r="2">
      <x v="72"/>
    </i>
    <i r="2">
      <x v="81"/>
    </i>
    <i r="2">
      <x v="84"/>
    </i>
    <i r="2">
      <x v="89"/>
    </i>
    <i r="2">
      <x v="90"/>
    </i>
    <i r="2">
      <x v="95"/>
    </i>
    <i r="2">
      <x v="96"/>
    </i>
    <i r="2">
      <x v="113"/>
    </i>
    <i r="2">
      <x v="127"/>
    </i>
    <i r="2">
      <x v="132"/>
    </i>
    <i r="1">
      <x v="2"/>
    </i>
    <i r="2">
      <x v="6"/>
    </i>
    <i r="2">
      <x v="11"/>
    </i>
    <i r="2">
      <x v="13"/>
    </i>
    <i r="2">
      <x v="15"/>
    </i>
    <i r="2">
      <x v="20"/>
    </i>
    <i r="2">
      <x v="23"/>
    </i>
    <i r="2">
      <x v="25"/>
    </i>
    <i r="2">
      <x v="27"/>
    </i>
    <i r="2">
      <x v="28"/>
    </i>
    <i r="2">
      <x v="32"/>
    </i>
    <i r="2">
      <x v="35"/>
    </i>
    <i r="2">
      <x v="36"/>
    </i>
    <i r="2">
      <x v="38"/>
    </i>
    <i r="2">
      <x v="39"/>
    </i>
    <i r="2">
      <x v="41"/>
    </i>
    <i r="2">
      <x v="42"/>
    </i>
    <i r="2">
      <x v="44"/>
    </i>
    <i r="2">
      <x v="46"/>
    </i>
    <i r="2">
      <x v="51"/>
    </i>
    <i r="2">
      <x v="52"/>
    </i>
    <i r="2">
      <x v="56"/>
    </i>
    <i r="2">
      <x v="60"/>
    </i>
    <i r="2">
      <x v="61"/>
    </i>
    <i r="2">
      <x v="62"/>
    </i>
    <i r="2">
      <x v="63"/>
    </i>
    <i r="2">
      <x v="64"/>
    </i>
    <i r="2">
      <x v="69"/>
    </i>
    <i r="2">
      <x v="75"/>
    </i>
    <i r="2">
      <x v="77"/>
    </i>
    <i r="2">
      <x v="78"/>
    </i>
    <i r="2">
      <x v="79"/>
    </i>
    <i r="2">
      <x v="81"/>
    </i>
    <i r="2">
      <x v="84"/>
    </i>
    <i r="2">
      <x v="86"/>
    </i>
    <i r="2">
      <x v="88"/>
    </i>
    <i r="2">
      <x v="89"/>
    </i>
    <i r="2">
      <x v="90"/>
    </i>
    <i r="2">
      <x v="94"/>
    </i>
    <i r="2">
      <x v="96"/>
    </i>
    <i r="2">
      <x v="98"/>
    </i>
    <i r="2">
      <x v="99"/>
    </i>
    <i r="2">
      <x v="101"/>
    </i>
    <i r="2">
      <x v="104"/>
    </i>
    <i r="2">
      <x v="106"/>
    </i>
    <i r="2">
      <x v="107"/>
    </i>
    <i r="2">
      <x v="108"/>
    </i>
    <i r="2">
      <x v="113"/>
    </i>
    <i r="2">
      <x v="119"/>
    </i>
    <i r="2">
      <x v="120"/>
    </i>
    <i r="2">
      <x v="121"/>
    </i>
    <i r="2">
      <x v="126"/>
    </i>
    <i r="1">
      <x v="3"/>
    </i>
    <i r="2">
      <x/>
    </i>
    <i r="2">
      <x v="15"/>
    </i>
    <i r="2">
      <x v="18"/>
    </i>
    <i r="2">
      <x v="19"/>
    </i>
    <i r="2">
      <x v="20"/>
    </i>
    <i r="2">
      <x v="42"/>
    </i>
    <i r="2">
      <x v="45"/>
    </i>
    <i r="2">
      <x v="46"/>
    </i>
    <i r="2">
      <x v="51"/>
    </i>
    <i r="2">
      <x v="72"/>
    </i>
    <i r="2">
      <x v="83"/>
    </i>
    <i r="2">
      <x v="86"/>
    </i>
    <i r="2">
      <x v="89"/>
    </i>
    <i r="2">
      <x v="107"/>
    </i>
    <i r="2">
      <x v="121"/>
    </i>
    <i r="2">
      <x v="122"/>
    </i>
    <i r="2">
      <x v="124"/>
    </i>
    <i r="2">
      <x v="127"/>
    </i>
    <i r="2">
      <x v="129"/>
    </i>
    <i r="2">
      <x v="134"/>
    </i>
    <i r="2">
      <x v="165"/>
    </i>
    <i r="1">
      <x v="4"/>
    </i>
    <i r="2">
      <x v="2"/>
    </i>
    <i r="2">
      <x v="3"/>
    </i>
    <i r="2">
      <x v="5"/>
    </i>
    <i r="2">
      <x v="8"/>
    </i>
    <i r="2">
      <x v="9"/>
    </i>
    <i r="2">
      <x v="10"/>
    </i>
    <i r="2">
      <x v="12"/>
    </i>
    <i r="2">
      <x v="13"/>
    </i>
    <i r="2">
      <x v="15"/>
    </i>
    <i r="2">
      <x v="19"/>
    </i>
    <i r="2">
      <x v="20"/>
    </i>
    <i r="2">
      <x v="21"/>
    </i>
    <i r="2">
      <x v="23"/>
    </i>
    <i r="2">
      <x v="25"/>
    </i>
    <i r="2">
      <x v="27"/>
    </i>
    <i r="2">
      <x v="32"/>
    </i>
    <i r="2">
      <x v="33"/>
    </i>
    <i r="2">
      <x v="34"/>
    </i>
    <i r="2">
      <x v="36"/>
    </i>
    <i r="2">
      <x v="39"/>
    </i>
    <i r="2">
      <x v="41"/>
    </i>
    <i r="2">
      <x v="42"/>
    </i>
    <i r="2">
      <x v="44"/>
    </i>
    <i r="2">
      <x v="46"/>
    </i>
    <i r="2">
      <x v="48"/>
    </i>
    <i r="2">
      <x v="49"/>
    </i>
    <i r="2">
      <x v="52"/>
    </i>
    <i r="2">
      <x v="53"/>
    </i>
    <i r="2">
      <x v="56"/>
    </i>
    <i r="2">
      <x v="58"/>
    </i>
    <i r="2">
      <x v="59"/>
    </i>
    <i r="2">
      <x v="61"/>
    </i>
    <i r="2">
      <x v="64"/>
    </i>
    <i r="2">
      <x v="71"/>
    </i>
    <i r="2">
      <x v="72"/>
    </i>
    <i r="2">
      <x v="74"/>
    </i>
    <i r="2">
      <x v="75"/>
    </i>
    <i r="2">
      <x v="76"/>
    </i>
    <i r="2">
      <x v="78"/>
    </i>
    <i r="2">
      <x v="81"/>
    </i>
    <i r="2">
      <x v="82"/>
    </i>
    <i r="2">
      <x v="83"/>
    </i>
    <i r="2">
      <x v="84"/>
    </i>
    <i r="2">
      <x v="85"/>
    </i>
    <i r="2">
      <x v="86"/>
    </i>
    <i r="2">
      <x v="92"/>
    </i>
    <i r="2">
      <x v="94"/>
    </i>
    <i r="2">
      <x v="98"/>
    </i>
    <i r="2">
      <x v="101"/>
    </i>
    <i r="2">
      <x v="103"/>
    </i>
    <i r="2">
      <x v="105"/>
    </i>
    <i r="2">
      <x v="106"/>
    </i>
    <i r="2">
      <x v="107"/>
    </i>
    <i r="2">
      <x v="108"/>
    </i>
    <i r="2">
      <x v="109"/>
    </i>
    <i r="2">
      <x v="110"/>
    </i>
    <i r="2">
      <x v="111"/>
    </i>
    <i r="2">
      <x v="113"/>
    </i>
    <i r="2">
      <x v="116"/>
    </i>
    <i r="2">
      <x v="117"/>
    </i>
    <i r="2">
      <x v="119"/>
    </i>
    <i r="2">
      <x v="121"/>
    </i>
    <i r="2">
      <x v="122"/>
    </i>
    <i r="2">
      <x v="126"/>
    </i>
    <i r="2">
      <x v="127"/>
    </i>
    <i r="2">
      <x v="128"/>
    </i>
    <i r="2">
      <x v="130"/>
    </i>
    <i r="2">
      <x v="134"/>
    </i>
    <i r="2">
      <x v="135"/>
    </i>
    <i r="1">
      <x v="5"/>
    </i>
    <i r="2">
      <x v="1"/>
    </i>
    <i r="2">
      <x v="7"/>
    </i>
    <i r="2">
      <x v="8"/>
    </i>
    <i r="2">
      <x v="10"/>
    </i>
    <i r="2">
      <x v="12"/>
    </i>
    <i r="2">
      <x v="13"/>
    </i>
    <i r="2">
      <x v="17"/>
    </i>
    <i r="2">
      <x v="18"/>
    </i>
    <i r="2">
      <x v="19"/>
    </i>
    <i r="2">
      <x v="20"/>
    </i>
    <i r="2">
      <x v="22"/>
    </i>
    <i r="2">
      <x v="24"/>
    </i>
    <i r="2">
      <x v="26"/>
    </i>
    <i r="2">
      <x v="27"/>
    </i>
    <i r="2">
      <x v="28"/>
    </i>
    <i r="2">
      <x v="30"/>
    </i>
    <i r="2">
      <x v="31"/>
    </i>
    <i r="2">
      <x v="32"/>
    </i>
    <i r="2">
      <x v="36"/>
    </i>
    <i r="2">
      <x v="39"/>
    </i>
    <i r="2">
      <x v="40"/>
    </i>
    <i r="2">
      <x v="41"/>
    </i>
    <i r="2">
      <x v="43"/>
    </i>
    <i r="2">
      <x v="48"/>
    </i>
    <i r="2">
      <x v="50"/>
    </i>
    <i r="2">
      <x v="51"/>
    </i>
    <i r="2">
      <x v="53"/>
    </i>
    <i r="2">
      <x v="61"/>
    </i>
    <i r="2">
      <x v="64"/>
    </i>
    <i r="2">
      <x v="65"/>
    </i>
    <i r="2">
      <x v="66"/>
    </i>
    <i r="2">
      <x v="67"/>
    </i>
    <i r="2">
      <x v="68"/>
    </i>
    <i r="2">
      <x v="70"/>
    </i>
    <i r="2">
      <x v="77"/>
    </i>
    <i r="2">
      <x v="78"/>
    </i>
    <i r="2">
      <x v="80"/>
    </i>
    <i r="2">
      <x v="86"/>
    </i>
    <i r="2">
      <x v="87"/>
    </i>
    <i r="2">
      <x v="89"/>
    </i>
    <i r="2">
      <x v="91"/>
    </i>
    <i r="2">
      <x v="93"/>
    </i>
    <i r="2">
      <x v="96"/>
    </i>
    <i r="2">
      <x v="97"/>
    </i>
    <i r="2">
      <x v="100"/>
    </i>
    <i r="2">
      <x v="101"/>
    </i>
    <i r="2">
      <x v="102"/>
    </i>
    <i r="2">
      <x v="106"/>
    </i>
    <i r="2">
      <x v="107"/>
    </i>
    <i r="2">
      <x v="109"/>
    </i>
    <i r="2">
      <x v="114"/>
    </i>
    <i r="2">
      <x v="116"/>
    </i>
    <i r="2">
      <x v="117"/>
    </i>
    <i r="2">
      <x v="118"/>
    </i>
    <i r="2">
      <x v="119"/>
    </i>
    <i r="2">
      <x v="125"/>
    </i>
    <i r="2">
      <x v="130"/>
    </i>
    <i r="2">
      <x v="132"/>
    </i>
    <i r="2">
      <x v="133"/>
    </i>
    <i r="2">
      <x v="134"/>
    </i>
    <i r="1">
      <x v="6"/>
    </i>
    <i r="2">
      <x v="1"/>
    </i>
    <i r="2">
      <x v="3"/>
    </i>
    <i r="2">
      <x v="22"/>
    </i>
    <i r="2">
      <x v="24"/>
    </i>
    <i r="2">
      <x v="38"/>
    </i>
    <i r="2">
      <x v="39"/>
    </i>
    <i r="2">
      <x v="40"/>
    </i>
    <i r="2">
      <x v="51"/>
    </i>
    <i r="2">
      <x v="53"/>
    </i>
    <i r="2">
      <x v="56"/>
    </i>
    <i r="2">
      <x v="66"/>
    </i>
    <i r="2">
      <x v="68"/>
    </i>
    <i r="2">
      <x v="86"/>
    </i>
    <i r="2">
      <x v="89"/>
    </i>
    <i r="2">
      <x v="92"/>
    </i>
    <i r="2">
      <x v="94"/>
    </i>
    <i r="2">
      <x v="101"/>
    </i>
    <i r="2">
      <x v="104"/>
    </i>
    <i r="2">
      <x v="106"/>
    </i>
    <i r="2">
      <x v="108"/>
    </i>
    <i r="2">
      <x v="109"/>
    </i>
    <i r="2">
      <x v="116"/>
    </i>
    <i r="2">
      <x v="117"/>
    </i>
    <i r="2">
      <x v="118"/>
    </i>
    <i r="2">
      <x v="142"/>
    </i>
    <i r="2">
      <x v="143"/>
    </i>
    <i r="2">
      <x v="144"/>
    </i>
    <i r="2">
      <x v="146"/>
    </i>
    <i r="2">
      <x v="147"/>
    </i>
    <i r="2">
      <x v="148"/>
    </i>
    <i r="2">
      <x v="149"/>
    </i>
    <i r="2">
      <x v="155"/>
    </i>
    <i r="2">
      <x v="156"/>
    </i>
    <i r="2">
      <x v="158"/>
    </i>
    <i r="1">
      <x v="7"/>
    </i>
    <i r="2">
      <x v="1"/>
    </i>
    <i r="2">
      <x v="3"/>
    </i>
    <i r="2">
      <x v="12"/>
    </i>
    <i r="2">
      <x v="15"/>
    </i>
    <i r="2">
      <x v="17"/>
    </i>
    <i r="2">
      <x v="18"/>
    </i>
    <i r="2">
      <x v="19"/>
    </i>
    <i r="2">
      <x v="23"/>
    </i>
    <i r="2">
      <x v="29"/>
    </i>
    <i r="2">
      <x v="30"/>
    </i>
    <i r="2">
      <x v="36"/>
    </i>
    <i r="2">
      <x v="40"/>
    </i>
    <i r="2">
      <x v="41"/>
    </i>
    <i r="2">
      <x v="45"/>
    </i>
    <i r="2">
      <x v="51"/>
    </i>
    <i r="2">
      <x v="55"/>
    </i>
    <i r="2">
      <x v="61"/>
    </i>
    <i r="2">
      <x v="68"/>
    </i>
    <i r="2">
      <x v="69"/>
    </i>
    <i r="2">
      <x v="74"/>
    </i>
    <i r="2">
      <x v="77"/>
    </i>
    <i r="2">
      <x v="78"/>
    </i>
    <i r="2">
      <x v="81"/>
    </i>
    <i r="2">
      <x v="89"/>
    </i>
    <i r="2">
      <x v="101"/>
    </i>
    <i r="2">
      <x v="102"/>
    </i>
    <i r="2">
      <x v="103"/>
    </i>
    <i r="2">
      <x v="105"/>
    </i>
    <i r="2">
      <x v="108"/>
    </i>
    <i r="2">
      <x v="114"/>
    </i>
    <i r="2">
      <x v="116"/>
    </i>
    <i r="2">
      <x v="120"/>
    </i>
    <i r="2">
      <x v="121"/>
    </i>
    <i r="2">
      <x v="124"/>
    </i>
    <i r="2">
      <x v="149"/>
    </i>
    <i r="2">
      <x v="156"/>
    </i>
    <i r="2">
      <x v="159"/>
    </i>
    <i r="2">
      <x v="160"/>
    </i>
    <i r="2">
      <x v="161"/>
    </i>
    <i r="2">
      <x v="162"/>
    </i>
    <i r="2">
      <x v="163"/>
    </i>
    <i r="2">
      <x v="164"/>
    </i>
    <i r="2">
      <x v="165"/>
    </i>
    <i r="2">
      <x v="166"/>
    </i>
    <i r="1">
      <x v="8"/>
    </i>
    <i r="2">
      <x v="1"/>
    </i>
    <i r="2">
      <x v="3"/>
    </i>
    <i r="2">
      <x v="39"/>
    </i>
    <i r="2">
      <x v="41"/>
    </i>
    <i r="2">
      <x v="46"/>
    </i>
    <i r="2">
      <x v="58"/>
    </i>
    <i r="2">
      <x v="64"/>
    </i>
    <i r="2">
      <x v="66"/>
    </i>
    <i r="2">
      <x v="68"/>
    </i>
    <i r="2">
      <x v="82"/>
    </i>
    <i r="2">
      <x v="84"/>
    </i>
    <i r="2">
      <x v="86"/>
    </i>
    <i r="2">
      <x v="89"/>
    </i>
    <i r="2">
      <x v="90"/>
    </i>
    <i r="2">
      <x v="97"/>
    </i>
    <i r="2">
      <x v="108"/>
    </i>
    <i r="2">
      <x v="118"/>
    </i>
    <i r="2">
      <x v="125"/>
    </i>
    <i r="2">
      <x v="127"/>
    </i>
    <i r="2">
      <x v="167"/>
    </i>
    <i r="2">
      <x v="168"/>
    </i>
    <i r="1">
      <x v="9"/>
    </i>
    <i r="2">
      <x v="22"/>
    </i>
    <i r="2">
      <x v="27"/>
    </i>
    <i r="2">
      <x v="29"/>
    </i>
    <i r="2">
      <x v="30"/>
    </i>
    <i r="2">
      <x v="32"/>
    </i>
    <i r="2">
      <x v="55"/>
    </i>
    <i r="2">
      <x v="58"/>
    </i>
    <i r="2">
      <x v="66"/>
    </i>
    <i r="2">
      <x v="68"/>
    </i>
    <i r="2">
      <x v="86"/>
    </i>
    <i r="2">
      <x v="89"/>
    </i>
    <i r="2">
      <x v="90"/>
    </i>
    <i r="2">
      <x v="94"/>
    </i>
    <i r="2">
      <x v="96"/>
    </i>
    <i r="2">
      <x v="100"/>
    </i>
    <i r="2">
      <x v="102"/>
    </i>
    <i r="2">
      <x v="103"/>
    </i>
    <i r="2">
      <x v="146"/>
    </i>
    <i r="2">
      <x v="167"/>
    </i>
    <i r="2">
      <x v="169"/>
    </i>
    <i r="2">
      <x v="171"/>
    </i>
    <i r="2">
      <x v="172"/>
    </i>
    <i r="2">
      <x v="173"/>
    </i>
    <i r="2">
      <x v="174"/>
    </i>
    <i r="1">
      <x v="10"/>
    </i>
    <i r="2">
      <x v="3"/>
    </i>
    <i r="2">
      <x v="7"/>
    </i>
    <i r="2">
      <x v="12"/>
    </i>
    <i r="2">
      <x v="15"/>
    </i>
    <i r="2">
      <x v="17"/>
    </i>
    <i r="2">
      <x v="18"/>
    </i>
    <i r="2">
      <x v="23"/>
    </i>
    <i r="2">
      <x v="24"/>
    </i>
    <i r="2">
      <x v="29"/>
    </i>
    <i r="2">
      <x v="31"/>
    </i>
    <i r="2">
      <x v="32"/>
    </i>
    <i r="2">
      <x v="33"/>
    </i>
    <i r="2">
      <x v="35"/>
    </i>
    <i r="2">
      <x v="38"/>
    </i>
    <i r="2">
      <x v="39"/>
    </i>
    <i r="2">
      <x v="40"/>
    </i>
    <i r="2">
      <x v="41"/>
    </i>
    <i r="2">
      <x v="42"/>
    </i>
    <i r="2">
      <x v="45"/>
    </i>
    <i r="2">
      <x v="55"/>
    </i>
    <i r="2">
      <x v="56"/>
    </i>
    <i r="2">
      <x v="58"/>
    </i>
    <i r="2">
      <x v="61"/>
    </i>
    <i r="2">
      <x v="64"/>
    </i>
    <i r="2">
      <x v="66"/>
    </i>
    <i r="2">
      <x v="68"/>
    </i>
    <i r="2">
      <x v="77"/>
    </i>
    <i r="2">
      <x v="78"/>
    </i>
    <i r="2">
      <x v="79"/>
    </i>
    <i r="2">
      <x v="81"/>
    </i>
    <i r="2">
      <x v="82"/>
    </i>
    <i r="2">
      <x v="84"/>
    </i>
    <i r="2">
      <x v="86"/>
    </i>
    <i r="2">
      <x v="88"/>
    </i>
    <i r="2">
      <x v="89"/>
    </i>
    <i r="2">
      <x v="90"/>
    </i>
    <i r="2">
      <x v="91"/>
    </i>
    <i r="2">
      <x v="92"/>
    </i>
    <i r="2">
      <x v="94"/>
    </i>
    <i r="2">
      <x v="96"/>
    </i>
    <i r="2">
      <x v="99"/>
    </i>
    <i r="2">
      <x v="100"/>
    </i>
    <i r="2">
      <x v="103"/>
    </i>
    <i r="2">
      <x v="105"/>
    </i>
    <i r="2">
      <x v="106"/>
    </i>
    <i r="2">
      <x v="107"/>
    </i>
    <i r="2">
      <x v="108"/>
    </i>
    <i r="2">
      <x v="110"/>
    </i>
    <i r="2">
      <x v="111"/>
    </i>
    <i r="2">
      <x v="116"/>
    </i>
    <i r="2">
      <x v="118"/>
    </i>
    <i r="2">
      <x v="120"/>
    </i>
    <i r="2">
      <x v="125"/>
    </i>
    <i r="2">
      <x v="127"/>
    </i>
    <i r="2">
      <x v="134"/>
    </i>
    <i r="2">
      <x v="135"/>
    </i>
    <i r="2">
      <x v="144"/>
    </i>
    <i r="2">
      <x v="146"/>
    </i>
    <i r="2">
      <x v="155"/>
    </i>
    <i r="2">
      <x v="156"/>
    </i>
    <i r="2">
      <x v="158"/>
    </i>
    <i r="2">
      <x v="163"/>
    </i>
    <i r="2">
      <x v="164"/>
    </i>
    <i r="2">
      <x v="165"/>
    </i>
    <i r="2">
      <x v="166"/>
    </i>
    <i r="2">
      <x v="168"/>
    </i>
    <i r="2">
      <x v="169"/>
    </i>
    <i r="2">
      <x v="171"/>
    </i>
    <i r="2">
      <x v="173"/>
    </i>
    <i r="2">
      <x v="178"/>
    </i>
    <i r="2">
      <x v="180"/>
    </i>
    <i r="2">
      <x v="181"/>
    </i>
    <i r="2">
      <x v="182"/>
    </i>
    <i r="2">
      <x v="183"/>
    </i>
    <i r="2">
      <x v="184"/>
    </i>
    <i r="2">
      <x v="186"/>
    </i>
    <i r="2">
      <x v="188"/>
    </i>
    <i r="2">
      <x v="189"/>
    </i>
    <i r="2">
      <x v="190"/>
    </i>
    <i r="2">
      <x v="191"/>
    </i>
    <i r="2">
      <x v="192"/>
    </i>
    <i r="2">
      <x v="193"/>
    </i>
    <i r="2">
      <x v="196"/>
    </i>
    <i r="2">
      <x v="199"/>
    </i>
    <i r="2">
      <x v="200"/>
    </i>
    <i r="2">
      <x v="201"/>
    </i>
    <i r="2">
      <x v="202"/>
    </i>
    <i r="2">
      <x v="203"/>
    </i>
    <i r="2">
      <x v="204"/>
    </i>
    <i r="2">
      <x v="205"/>
    </i>
    <i r="2">
      <x v="206"/>
    </i>
    <i r="2">
      <x v="207"/>
    </i>
    <i r="2">
      <x v="208"/>
    </i>
    <i r="2">
      <x v="211"/>
    </i>
    <i r="2">
      <x v="212"/>
    </i>
    <i r="1">
      <x v="11"/>
    </i>
    <i r="2">
      <x v="3"/>
    </i>
    <i r="2">
      <x v="27"/>
    </i>
    <i r="2">
      <x v="36"/>
    </i>
    <i r="2">
      <x v="39"/>
    </i>
    <i r="2">
      <x v="40"/>
    </i>
    <i r="2">
      <x v="41"/>
    </i>
    <i r="2">
      <x v="45"/>
    </i>
    <i r="2">
      <x v="53"/>
    </i>
    <i r="2">
      <x v="64"/>
    </i>
    <i r="2">
      <x v="66"/>
    </i>
    <i r="2">
      <x v="82"/>
    </i>
    <i r="2">
      <x v="86"/>
    </i>
    <i r="2">
      <x v="96"/>
    </i>
    <i r="2">
      <x v="108"/>
    </i>
    <i r="2">
      <x v="109"/>
    </i>
    <i r="2">
      <x v="125"/>
    </i>
    <i r="2">
      <x v="134"/>
    </i>
    <i r="2">
      <x v="168"/>
    </i>
    <i r="2">
      <x v="173"/>
    </i>
    <i r="2">
      <x v="178"/>
    </i>
    <i r="2">
      <x v="190"/>
    </i>
    <i r="2">
      <x v="204"/>
    </i>
    <i r="2">
      <x v="206"/>
    </i>
    <i r="2">
      <x v="209"/>
    </i>
    <i r="2">
      <x v="210"/>
    </i>
    <i r="2">
      <x v="213"/>
    </i>
    <i>
      <x v="4"/>
    </i>
    <i r="1">
      <x/>
    </i>
    <i r="2">
      <x v="17"/>
    </i>
    <i r="2">
      <x v="40"/>
    </i>
    <i r="2">
      <x v="58"/>
    </i>
    <i r="2">
      <x v="66"/>
    </i>
    <i r="2">
      <x v="68"/>
    </i>
    <i r="2">
      <x v="78"/>
    </i>
    <i r="2">
      <x v="89"/>
    </i>
    <i r="2">
      <x v="90"/>
    </i>
    <i r="2">
      <x v="94"/>
    </i>
    <i r="2">
      <x v="103"/>
    </i>
    <i r="2">
      <x v="106"/>
    </i>
    <i r="2">
      <x v="111"/>
    </i>
    <i r="2">
      <x v="125"/>
    </i>
    <i r="2">
      <x v="156"/>
    </i>
    <i r="2">
      <x v="169"/>
    </i>
    <i r="2">
      <x v="173"/>
    </i>
    <i r="2">
      <x v="183"/>
    </i>
    <i r="2">
      <x v="204"/>
    </i>
    <i r="2">
      <x v="206"/>
    </i>
    <i r="2">
      <x v="212"/>
    </i>
    <i r="2">
      <x v="215"/>
    </i>
    <i r="2">
      <x v="216"/>
    </i>
    <i r="2">
      <x v="217"/>
    </i>
    <i r="2">
      <x v="219"/>
    </i>
    <i r="2">
      <x v="221"/>
    </i>
    <i r="1">
      <x v="1"/>
    </i>
    <i r="2">
      <x v="22"/>
    </i>
    <i r="2">
      <x v="41"/>
    </i>
    <i r="2">
      <x v="58"/>
    </i>
    <i r="2">
      <x v="88"/>
    </i>
    <i r="2">
      <x v="89"/>
    </i>
    <i r="2">
      <x v="93"/>
    </i>
    <i r="2">
      <x v="94"/>
    </i>
    <i r="2">
      <x v="102"/>
    </i>
    <i r="2">
      <x v="103"/>
    </i>
    <i r="2">
      <x v="135"/>
    </i>
    <i r="2">
      <x v="216"/>
    </i>
    <i r="2">
      <x v="223"/>
    </i>
    <i r="2">
      <x v="224"/>
    </i>
    <i t="grand">
      <x/>
    </i>
  </rowItems>
  <colFields count="1">
    <field x="-2"/>
  </colFields>
  <colItems count="2">
    <i>
      <x/>
    </i>
    <i i="1">
      <x v="1"/>
    </i>
  </colItems>
  <pageFields count="1">
    <pageField fld="3" hier="-1"/>
  </pageFields>
  <dataFields count="2">
    <dataField name="Soma de VGV" fld="8" baseField="0" baseItem="0"/>
    <dataField name="Soma de Vendas" fld="9" baseField="0" baseItem="0"/>
  </dataFields>
  <pivotTableStyleInfo name="PivotStyleMedium2" showRowHeaders="1" showColHeaders="1" showRowStripes="0" showColStripes="0" showLastColumn="1"/>
</pivotTableDefinition>
</file>

<file path=xl/pivotTables/pivotTable8.xml><?xml version="1.0" encoding="utf-8"?>
<pivotTableDefinition xmlns="http://schemas.openxmlformats.org/spreadsheetml/2006/main" name="Tabela dinâmica1" cacheId="11" applyNumberFormats="0" applyBorderFormats="0" applyFontFormats="0" applyPatternFormats="0" applyAlignmentFormats="0" applyWidthHeightFormats="1" dataCaption="Valores" updatedVersion="4" minRefreshableVersion="3" showCalcMbrs="0" useAutoFormatting="1" itemPrintTitles="1" createdVersion="3" indent="0" outline="1" outlineData="1" multipleFieldFilters="0">
  <location ref="A3:C118" firstHeaderRow="1" firstDataRow="2" firstDataCol="1" rowPageCount="1" colPageCount="1"/>
  <pivotFields count="12">
    <pivotField showAll="0"/>
    <pivotField showAll="0"/>
    <pivotField showAll="0"/>
    <pivotField axis="axisPage" multipleItemSelectionAllowed="1" showAll="0">
      <items count="8">
        <item x="0"/>
        <item h="1" x="2"/>
        <item h="1" x="1"/>
        <item h="1" m="1" x="3"/>
        <item h="1" m="1" x="6"/>
        <item h="1" m="1" x="4"/>
        <item h="1" m="1" x="5"/>
        <item t="default"/>
      </items>
    </pivotField>
    <pivotField showAll="0" defaultSubtotal="0"/>
    <pivotField showAll="0"/>
    <pivotField showAll="0"/>
    <pivotField axis="axisRow" showAll="0">
      <items count="14">
        <item x="4"/>
        <item x="8"/>
        <item x="2"/>
        <item x="9"/>
        <item x="1"/>
        <item x="7"/>
        <item x="3"/>
        <item x="0"/>
        <item x="5"/>
        <item x="6"/>
        <item x="10"/>
        <item x="11"/>
        <item m="1" x="12"/>
        <item t="default"/>
      </items>
    </pivotField>
    <pivotField dataField="1" showAll="0"/>
    <pivotField dataField="1" showAll="0"/>
    <pivotField axis="axisRow" numFmtId="17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numFmtId="171" showAll="0">
      <items count="6">
        <item m="1" x="3"/>
        <item x="0"/>
        <item m="1" x="4"/>
        <item m="1" x="2"/>
        <item x="1"/>
        <item t="default"/>
      </items>
    </pivotField>
  </pivotFields>
  <rowFields count="3">
    <field x="11"/>
    <field x="10"/>
    <field x="7"/>
  </rowFields>
  <rowItems count="114">
    <i>
      <x v="1"/>
    </i>
    <i r="1">
      <x/>
    </i>
    <i r="2">
      <x/>
    </i>
    <i r="2">
      <x v="2"/>
    </i>
    <i r="2">
      <x v="4"/>
    </i>
    <i r="2">
      <x v="5"/>
    </i>
    <i r="2">
      <x v="6"/>
    </i>
    <i r="2">
      <x v="7"/>
    </i>
    <i r="1">
      <x v="1"/>
    </i>
    <i r="2">
      <x/>
    </i>
    <i r="2">
      <x v="2"/>
    </i>
    <i r="2">
      <x v="4"/>
    </i>
    <i r="2">
      <x v="5"/>
    </i>
    <i r="2">
      <x v="6"/>
    </i>
    <i r="2">
      <x v="7"/>
    </i>
    <i r="1">
      <x v="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3"/>
    </i>
    <i r="2">
      <x/>
    </i>
    <i r="2">
      <x v="1"/>
    </i>
    <i r="2">
      <x v="2"/>
    </i>
    <i r="2">
      <x v="3"/>
    </i>
    <i r="2">
      <x v="4"/>
    </i>
    <i r="2">
      <x v="6"/>
    </i>
    <i r="2">
      <x v="7"/>
    </i>
    <i r="1">
      <x v="4"/>
    </i>
    <i r="2">
      <x/>
    </i>
    <i r="2">
      <x v="1"/>
    </i>
    <i r="2">
      <x v="2"/>
    </i>
    <i r="2">
      <x v="3"/>
    </i>
    <i r="2">
      <x v="4"/>
    </i>
    <i r="2">
      <x v="6"/>
    </i>
    <i r="2">
      <x v="7"/>
    </i>
    <i r="1">
      <x v="5"/>
    </i>
    <i r="2">
      <x/>
    </i>
    <i r="2">
      <x v="1"/>
    </i>
    <i r="2">
      <x v="2"/>
    </i>
    <i r="2">
      <x v="3"/>
    </i>
    <i r="2">
      <x v="4"/>
    </i>
    <i r="2">
      <x v="6"/>
    </i>
    <i r="2">
      <x v="7"/>
    </i>
    <i r="1">
      <x v="6"/>
    </i>
    <i r="2">
      <x/>
    </i>
    <i r="2">
      <x v="1"/>
    </i>
    <i r="2">
      <x v="2"/>
    </i>
    <i r="2">
      <x v="3"/>
    </i>
    <i r="2">
      <x v="4"/>
    </i>
    <i r="2">
      <x v="6"/>
    </i>
    <i r="2">
      <x v="7"/>
    </i>
    <i r="1">
      <x v="7"/>
    </i>
    <i r="2">
      <x/>
    </i>
    <i r="2">
      <x v="1"/>
    </i>
    <i r="2">
      <x v="2"/>
    </i>
    <i r="2">
      <x v="3"/>
    </i>
    <i r="2">
      <x v="4"/>
    </i>
    <i r="2">
      <x v="6"/>
    </i>
    <i r="2">
      <x v="7"/>
    </i>
    <i r="1">
      <x v="8"/>
    </i>
    <i r="2">
      <x/>
    </i>
    <i r="2">
      <x v="1"/>
    </i>
    <i r="2">
      <x v="2"/>
    </i>
    <i r="2">
      <x v="3"/>
    </i>
    <i r="2">
      <x v="4"/>
    </i>
    <i r="2">
      <x v="7"/>
    </i>
    <i r="1">
      <x v="9"/>
    </i>
    <i r="2">
      <x/>
    </i>
    <i r="2">
      <x v="1"/>
    </i>
    <i r="2">
      <x v="2"/>
    </i>
    <i r="2">
      <x v="4"/>
    </i>
    <i r="2">
      <x v="6"/>
    </i>
    <i r="2">
      <x v="7"/>
    </i>
    <i r="2">
      <x v="10"/>
    </i>
    <i r="1">
      <x v="10"/>
    </i>
    <i r="2">
      <x/>
    </i>
    <i r="2">
      <x v="1"/>
    </i>
    <i r="2">
      <x v="2"/>
    </i>
    <i r="2">
      <x v="4"/>
    </i>
    <i r="2">
      <x v="6"/>
    </i>
    <i r="2">
      <x v="7"/>
    </i>
    <i r="2">
      <x v="10"/>
    </i>
    <i r="2">
      <x v="11"/>
    </i>
    <i r="1">
      <x v="11"/>
    </i>
    <i r="2">
      <x/>
    </i>
    <i r="2">
      <x v="1"/>
    </i>
    <i r="2">
      <x v="2"/>
    </i>
    <i r="2">
      <x v="4"/>
    </i>
    <i r="2">
      <x v="6"/>
    </i>
    <i r="2">
      <x v="7"/>
    </i>
    <i r="2">
      <x v="10"/>
    </i>
    <i>
      <x v="4"/>
    </i>
    <i r="1">
      <x/>
    </i>
    <i r="2">
      <x/>
    </i>
    <i r="2">
      <x v="1"/>
    </i>
    <i r="2">
      <x v="2"/>
    </i>
    <i r="2">
      <x v="4"/>
    </i>
    <i r="2">
      <x v="6"/>
    </i>
    <i r="2">
      <x v="7"/>
    </i>
    <i r="2">
      <x v="10"/>
    </i>
    <i r="2">
      <x v="11"/>
    </i>
    <i r="1">
      <x v="1"/>
    </i>
    <i r="2">
      <x/>
    </i>
    <i r="2">
      <x v="1"/>
    </i>
    <i r="2">
      <x v="2"/>
    </i>
    <i r="2">
      <x v="4"/>
    </i>
    <i r="2">
      <x v="7"/>
    </i>
    <i r="2">
      <x v="10"/>
    </i>
    <i t="grand">
      <x/>
    </i>
  </rowItems>
  <colFields count="1">
    <field x="-2"/>
  </colFields>
  <colItems count="2">
    <i>
      <x/>
    </i>
    <i i="1">
      <x v="1"/>
    </i>
  </colItems>
  <pageFields count="1">
    <pageField fld="3" hier="-1"/>
  </pageFields>
  <dataFields count="2">
    <dataField name="Soma de VGV" fld="8" baseField="0" baseItem="0"/>
    <dataField name="Soma de Vendas" fld="9" baseField="0" baseItem="0"/>
  </dataFields>
  <formats count="16">
    <format dxfId="150">
      <pivotArea collapsedLevelsAreSubtotals="1" fieldPosition="0">
        <references count="3">
          <reference field="4294967294" count="1" selected="0">
            <x v="0"/>
          </reference>
          <reference field="10" count="1">
            <x v="0"/>
          </reference>
          <reference field="11" count="1" selected="0">
            <x v="1"/>
          </reference>
        </references>
      </pivotArea>
    </format>
    <format dxfId="149">
      <pivotArea collapsedLevelsAreSubtotals="1" fieldPosition="0">
        <references count="4">
          <reference field="4294967294" count="1" selected="0">
            <x v="0"/>
          </reference>
          <reference field="7" count="6">
            <x v="0"/>
            <x v="2"/>
            <x v="4"/>
            <x v="5"/>
            <x v="6"/>
            <x v="7"/>
          </reference>
          <reference field="10" count="1" selected="0">
            <x v="0"/>
          </reference>
          <reference field="11" count="1" selected="0">
            <x v="1"/>
          </reference>
        </references>
      </pivotArea>
    </format>
    <format dxfId="148">
      <pivotArea collapsedLevelsAreSubtotals="1" fieldPosition="0">
        <references count="3">
          <reference field="4294967294" count="1" selected="0">
            <x v="0"/>
          </reference>
          <reference field="10" count="1">
            <x v="1"/>
          </reference>
          <reference field="11" count="1" selected="0">
            <x v="1"/>
          </reference>
        </references>
      </pivotArea>
    </format>
    <format dxfId="147">
      <pivotArea collapsedLevelsAreSubtotals="1" fieldPosition="0">
        <references count="4">
          <reference field="4294967294" count="1" selected="0">
            <x v="0"/>
          </reference>
          <reference field="7" count="6">
            <x v="0"/>
            <x v="2"/>
            <x v="4"/>
            <x v="5"/>
            <x v="6"/>
            <x v="7"/>
          </reference>
          <reference field="10" count="1" selected="0">
            <x v="1"/>
          </reference>
          <reference field="11" count="1" selected="0">
            <x v="1"/>
          </reference>
        </references>
      </pivotArea>
    </format>
    <format dxfId="146">
      <pivotArea collapsedLevelsAreSubtotals="1" fieldPosition="0">
        <references count="3">
          <reference field="4294967294" count="1" selected="0">
            <x v="0"/>
          </reference>
          <reference field="10" count="1">
            <x v="2"/>
          </reference>
          <reference field="11" count="1" selected="0">
            <x v="1"/>
          </reference>
        </references>
      </pivotArea>
    </format>
    <format dxfId="145">
      <pivotArea collapsedLevelsAreSubtotals="1" fieldPosition="0">
        <references count="4">
          <reference field="4294967294" count="1" selected="0">
            <x v="0"/>
          </reference>
          <reference field="7" count="8">
            <x v="0"/>
            <x v="1"/>
            <x v="2"/>
            <x v="3"/>
            <x v="4"/>
            <x v="5"/>
            <x v="6"/>
            <x v="7"/>
          </reference>
          <reference field="10" count="1" selected="0">
            <x v="2"/>
          </reference>
          <reference field="11" count="1" selected="0">
            <x v="1"/>
          </reference>
        </references>
      </pivotArea>
    </format>
    <format dxfId="144">
      <pivotArea collapsedLevelsAreSubtotals="1" fieldPosition="0">
        <references count="3">
          <reference field="4294967294" count="1" selected="0">
            <x v="0"/>
          </reference>
          <reference field="10" count="1">
            <x v="3"/>
          </reference>
          <reference field="11" count="1" selected="0">
            <x v="1"/>
          </reference>
        </references>
      </pivotArea>
    </format>
    <format dxfId="143">
      <pivotArea collapsedLevelsAreSubtotals="1" fieldPosition="0">
        <references count="4">
          <reference field="4294967294" count="1" selected="0">
            <x v="0"/>
          </reference>
          <reference field="7" count="7">
            <x v="0"/>
            <x v="1"/>
            <x v="2"/>
            <x v="3"/>
            <x v="4"/>
            <x v="6"/>
            <x v="7"/>
          </reference>
          <reference field="10" count="1" selected="0">
            <x v="3"/>
          </reference>
          <reference field="11" count="1" selected="0">
            <x v="1"/>
          </reference>
        </references>
      </pivotArea>
    </format>
    <format dxfId="142">
      <pivotArea collapsedLevelsAreSubtotals="1" fieldPosition="0">
        <references count="3">
          <reference field="4294967294" count="1" selected="0">
            <x v="0"/>
          </reference>
          <reference field="10" count="1">
            <x v="4"/>
          </reference>
          <reference field="11" count="1" selected="0">
            <x v="1"/>
          </reference>
        </references>
      </pivotArea>
    </format>
    <format dxfId="141">
      <pivotArea collapsedLevelsAreSubtotals="1" fieldPosition="0">
        <references count="4">
          <reference field="4294967294" count="1" selected="0">
            <x v="0"/>
          </reference>
          <reference field="7" count="7">
            <x v="0"/>
            <x v="1"/>
            <x v="2"/>
            <x v="3"/>
            <x v="4"/>
            <x v="6"/>
            <x v="7"/>
          </reference>
          <reference field="10" count="1" selected="0">
            <x v="4"/>
          </reference>
          <reference field="11" count="1" selected="0">
            <x v="1"/>
          </reference>
        </references>
      </pivotArea>
    </format>
    <format dxfId="140">
      <pivotArea collapsedLevelsAreSubtotals="1" fieldPosition="0">
        <references count="3">
          <reference field="4294967294" count="1" selected="0">
            <x v="0"/>
          </reference>
          <reference field="10" count="1">
            <x v="5"/>
          </reference>
          <reference field="11" count="1" selected="0">
            <x v="1"/>
          </reference>
        </references>
      </pivotArea>
    </format>
    <format dxfId="139">
      <pivotArea collapsedLevelsAreSubtotals="1" fieldPosition="0">
        <references count="4">
          <reference field="4294967294" count="1" selected="0">
            <x v="0"/>
          </reference>
          <reference field="7" count="7">
            <x v="0"/>
            <x v="1"/>
            <x v="2"/>
            <x v="3"/>
            <x v="4"/>
            <x v="6"/>
            <x v="7"/>
          </reference>
          <reference field="10" count="1" selected="0">
            <x v="5"/>
          </reference>
          <reference field="11" count="1" selected="0">
            <x v="1"/>
          </reference>
        </references>
      </pivotArea>
    </format>
    <format dxfId="138">
      <pivotArea collapsedLevelsAreSubtotals="1" fieldPosition="0">
        <references count="3">
          <reference field="4294967294" count="1" selected="0">
            <x v="0"/>
          </reference>
          <reference field="10" count="1">
            <x v="6"/>
          </reference>
          <reference field="11" count="1" selected="0">
            <x v="1"/>
          </reference>
        </references>
      </pivotArea>
    </format>
    <format dxfId="137">
      <pivotArea collapsedLevelsAreSubtotals="1" fieldPosition="0">
        <references count="4">
          <reference field="4294967294" count="1" selected="0">
            <x v="0"/>
          </reference>
          <reference field="7" count="6">
            <x v="0"/>
            <x v="1"/>
            <x v="2"/>
            <x v="4"/>
            <x v="6"/>
            <x v="7"/>
          </reference>
          <reference field="10" count="1" selected="0">
            <x v="6"/>
          </reference>
          <reference field="11" count="1" selected="0">
            <x v="1"/>
          </reference>
        </references>
      </pivotArea>
    </format>
    <format dxfId="136">
      <pivotArea field="11" grandRow="1" outline="0" collapsedLevelsAreSubtotals="1" axis="axisRow" fieldPosition="0">
        <references count="1">
          <reference field="4294967294" count="1" selected="0">
            <x v="0"/>
          </reference>
        </references>
      </pivotArea>
    </format>
    <format dxfId="135">
      <pivotArea collapsedLevelsAreSubtotals="1" fieldPosition="0">
        <references count="2">
          <reference field="4294967294" count="1" selected="0">
            <x v="0"/>
          </reference>
          <reference field="11" count="1">
            <x v="1"/>
          </reference>
        </references>
      </pivotArea>
    </format>
  </formats>
  <pivotTableStyleInfo name="PivotStyleMedium2" showRowHeaders="1" showColHeaders="1" showRowStripes="0" showColStripes="0" showLastColumn="1"/>
</pivotTableDefinition>
</file>

<file path=xl/pivotTables/pivotTable9.xml><?xml version="1.0" encoding="utf-8"?>
<pivotTableDefinition xmlns="http://schemas.openxmlformats.org/spreadsheetml/2006/main" name="Tabela dinâmica1" cacheId="11" applyNumberFormats="0" applyBorderFormats="0" applyFontFormats="0" applyPatternFormats="0" applyAlignmentFormats="0" applyWidthHeightFormats="1" dataCaption="Valores" updatedVersion="4" minRefreshableVersion="3" showCalcMbrs="0" useAutoFormatting="1" itemPrintTitles="1" createdVersion="3" indent="0" outline="1" outlineData="1" multipleFieldFilters="0">
  <location ref="A4:B30" firstHeaderRow="1" firstDataRow="1" firstDataCol="1" rowPageCount="2" colPageCount="1"/>
  <pivotFields count="12">
    <pivotField showAll="0"/>
    <pivotField showAll="0"/>
    <pivotField showAll="0"/>
    <pivotField axis="axisRow" showAll="0">
      <items count="8">
        <item x="0"/>
        <item m="1" x="4"/>
        <item x="2"/>
        <item x="1"/>
        <item m="1" x="6"/>
        <item m="1" x="5"/>
        <item m="1" x="3"/>
        <item t="default"/>
      </items>
    </pivotField>
    <pivotField axis="axisRow" showAll="0">
      <items count="5">
        <item x="0"/>
        <item x="2"/>
        <item x="1"/>
        <item m="1" x="3"/>
        <item t="default"/>
      </items>
    </pivotField>
    <pivotField showAll="0"/>
    <pivotField showAll="0"/>
    <pivotField axis="axisRow" showAll="0">
      <items count="14">
        <item x="4"/>
        <item x="5"/>
        <item x="8"/>
        <item x="2"/>
        <item x="6"/>
        <item x="9"/>
        <item x="1"/>
        <item x="7"/>
        <item x="3"/>
        <item x="0"/>
        <item x="10"/>
        <item x="11"/>
        <item m="1" x="12"/>
        <item t="default"/>
      </items>
    </pivotField>
    <pivotField dataField="1" showAll="0"/>
    <pivotField showAll="0"/>
    <pivotField axis="axisPage" multipleItemSelectionAllowed="1" showAll="0">
      <items count="13">
        <item h="1" x="0"/>
        <item h="1" x="1"/>
        <item h="1" x="2"/>
        <item h="1" x="3"/>
        <item h="1" x="4"/>
        <item h="1" x="5"/>
        <item h="1" x="6"/>
        <item x="7"/>
        <item h="1" x="8"/>
        <item h="1" x="9"/>
        <item h="1" x="10"/>
        <item h="1" x="11"/>
        <item t="default"/>
      </items>
    </pivotField>
    <pivotField axis="axisPage" showAll="0">
      <items count="6">
        <item m="1" x="3"/>
        <item m="1" x="4"/>
        <item x="0"/>
        <item m="1" x="2"/>
        <item x="1"/>
        <item t="default"/>
      </items>
    </pivotField>
  </pivotFields>
  <rowFields count="3">
    <field x="3"/>
    <field x="4"/>
    <field x="7"/>
  </rowFields>
  <rowItems count="26">
    <i>
      <x/>
    </i>
    <i r="1">
      <x/>
    </i>
    <i r="2">
      <x/>
    </i>
    <i r="2">
      <x v="2"/>
    </i>
    <i r="2">
      <x v="3"/>
    </i>
    <i r="2">
      <x v="5"/>
    </i>
    <i r="2">
      <x v="6"/>
    </i>
    <i r="2">
      <x v="8"/>
    </i>
    <i r="2">
      <x v="9"/>
    </i>
    <i r="1">
      <x v="1"/>
    </i>
    <i r="2">
      <x/>
    </i>
    <i r="2">
      <x v="2"/>
    </i>
    <i r="2">
      <x v="3"/>
    </i>
    <i r="2">
      <x v="5"/>
    </i>
    <i r="2">
      <x v="6"/>
    </i>
    <i r="2">
      <x v="8"/>
    </i>
    <i r="2">
      <x v="9"/>
    </i>
    <i>
      <x v="2"/>
    </i>
    <i r="1">
      <x v="2"/>
    </i>
    <i r="2">
      <x v="4"/>
    </i>
    <i>
      <x v="3"/>
    </i>
    <i r="1">
      <x/>
    </i>
    <i r="2">
      <x v="1"/>
    </i>
    <i r="1">
      <x v="1"/>
    </i>
    <i r="2">
      <x v="1"/>
    </i>
    <i t="grand">
      <x/>
    </i>
  </rowItems>
  <colItems count="1">
    <i/>
  </colItems>
  <pageFields count="2">
    <pageField fld="11" hier="-1"/>
    <pageField fld="10" hier="-1"/>
  </pageFields>
  <dataFields count="1">
    <dataField name="Soma de VGV" fld="8" baseField="0" baseItem="0"/>
  </dataFields>
  <formats count="16">
    <format dxfId="120">
      <pivotArea collapsedLevelsAreSubtotals="1" fieldPosition="0">
        <references count="2">
          <reference field="3" count="1" selected="0">
            <x v="0"/>
          </reference>
          <reference field="4" count="1">
            <x v="0"/>
          </reference>
        </references>
      </pivotArea>
    </format>
    <format dxfId="119">
      <pivotArea collapsedLevelsAreSubtotals="1" fieldPosition="0">
        <references count="3">
          <reference field="3" count="1" selected="0">
            <x v="0"/>
          </reference>
          <reference field="4" count="1" selected="0">
            <x v="0"/>
          </reference>
          <reference field="7" count="8">
            <x v="0"/>
            <x v="2"/>
            <x v="3"/>
            <x v="5"/>
            <x v="6"/>
            <x v="7"/>
            <x v="8"/>
            <x v="9"/>
          </reference>
        </references>
      </pivotArea>
    </format>
    <format dxfId="118">
      <pivotArea collapsedLevelsAreSubtotals="1" fieldPosition="0">
        <references count="2">
          <reference field="3" count="1" selected="0">
            <x v="0"/>
          </reference>
          <reference field="4" count="1">
            <x v="1"/>
          </reference>
        </references>
      </pivotArea>
    </format>
    <format dxfId="117">
      <pivotArea collapsedLevelsAreSubtotals="1" fieldPosition="0">
        <references count="3">
          <reference field="3" count="1" selected="0">
            <x v="0"/>
          </reference>
          <reference field="4" count="1" selected="0">
            <x v="1"/>
          </reference>
          <reference field="7" count="8">
            <x v="0"/>
            <x v="2"/>
            <x v="3"/>
            <x v="5"/>
            <x v="6"/>
            <x v="7"/>
            <x v="8"/>
            <x v="9"/>
          </reference>
        </references>
      </pivotArea>
    </format>
    <format dxfId="116">
      <pivotArea collapsedLevelsAreSubtotals="1" fieldPosition="0">
        <references count="1">
          <reference field="3" count="1">
            <x v="2"/>
          </reference>
        </references>
      </pivotArea>
    </format>
    <format dxfId="115">
      <pivotArea collapsedLevelsAreSubtotals="1" fieldPosition="0">
        <references count="2">
          <reference field="3" count="1" selected="0">
            <x v="2"/>
          </reference>
          <reference field="4" count="1">
            <x v="2"/>
          </reference>
        </references>
      </pivotArea>
    </format>
    <format dxfId="114">
      <pivotArea collapsedLevelsAreSubtotals="1" fieldPosition="0">
        <references count="3">
          <reference field="3" count="1" selected="0">
            <x v="2"/>
          </reference>
          <reference field="4" count="1" selected="0">
            <x v="2"/>
          </reference>
          <reference field="7" count="1">
            <x v="4"/>
          </reference>
        </references>
      </pivotArea>
    </format>
    <format dxfId="113">
      <pivotArea collapsedLevelsAreSubtotals="1" fieldPosition="0">
        <references count="1">
          <reference field="3" count="1">
            <x v="3"/>
          </reference>
        </references>
      </pivotArea>
    </format>
    <format dxfId="112">
      <pivotArea collapsedLevelsAreSubtotals="1" fieldPosition="0">
        <references count="2">
          <reference field="3" count="1" selected="0">
            <x v="3"/>
          </reference>
          <reference field="4" count="1">
            <x v="0"/>
          </reference>
        </references>
      </pivotArea>
    </format>
    <format dxfId="111">
      <pivotArea collapsedLevelsAreSubtotals="1" fieldPosition="0">
        <references count="3">
          <reference field="3" count="1" selected="0">
            <x v="3"/>
          </reference>
          <reference field="4" count="1" selected="0">
            <x v="0"/>
          </reference>
          <reference field="7" count="1">
            <x v="1"/>
          </reference>
        </references>
      </pivotArea>
    </format>
    <format dxfId="110">
      <pivotArea collapsedLevelsAreSubtotals="1" fieldPosition="0">
        <references count="2">
          <reference field="3" count="1" selected="0">
            <x v="3"/>
          </reference>
          <reference field="4" count="1">
            <x v="1"/>
          </reference>
        </references>
      </pivotArea>
    </format>
    <format dxfId="109">
      <pivotArea collapsedLevelsAreSubtotals="1" fieldPosition="0">
        <references count="3">
          <reference field="3" count="1" selected="0">
            <x v="3"/>
          </reference>
          <reference field="4" count="1" selected="0">
            <x v="1"/>
          </reference>
          <reference field="7" count="1">
            <x v="1"/>
          </reference>
        </references>
      </pivotArea>
    </format>
    <format dxfId="108">
      <pivotArea collapsedLevelsAreSubtotals="1" fieldPosition="0">
        <references count="1">
          <reference field="3" count="1">
            <x v="6"/>
          </reference>
        </references>
      </pivotArea>
    </format>
    <format dxfId="107">
      <pivotArea collapsedLevelsAreSubtotals="1" fieldPosition="0">
        <references count="2">
          <reference field="3" count="1" selected="0">
            <x v="6"/>
          </reference>
          <reference field="4" count="1">
            <x v="3"/>
          </reference>
        </references>
      </pivotArea>
    </format>
    <format dxfId="106">
      <pivotArea grandRow="1" outline="0" collapsedLevelsAreSubtotals="1" fieldPosition="0"/>
    </format>
    <format dxfId="105">
      <pivotArea collapsedLevelsAreSubtotals="1" fieldPosition="0">
        <references count="1">
          <reference field="3" count="1">
            <x v="0"/>
          </reference>
        </references>
      </pivotArea>
    </format>
  </formats>
  <pivotTableStyleInfo name="PivotStyleMedium2" showRowHeaders="1" showColHeaders="1" showRowStripes="0" showColStripes="0" showLastColumn="1"/>
</pivotTableDefinition>
</file>

<file path=xl/pivotTables/pivotTable10.xml><?xml version="1.0" encoding="utf-8"?>
<pivotTableDefinition xmlns="http://schemas.openxmlformats.org/spreadsheetml/2006/main" name="Tabela dinâmica2" cacheId="11" applyNumberFormats="0" applyBorderFormats="0" applyFontFormats="0" applyPatternFormats="0" applyAlignmentFormats="0" applyWidthHeightFormats="1" dataCaption="Valores" updatedVersion="4" minRefreshableVersion="3" showCalcMbrs="0" useAutoFormatting="1" itemPrintTitles="1" createdVersion="3" indent="0" outline="1" outlineData="1" multipleFieldFilters="0">
  <location ref="A5:C558" firstHeaderRow="1" firstDataRow="2" firstDataCol="1" rowPageCount="2" colPageCount="1"/>
  <pivotFields count="12">
    <pivotField axis="axisRow" showAll="0">
      <items count="54">
        <item m="1" x="43"/>
        <item m="1" x="47"/>
        <item m="1" x="50"/>
        <item m="1" x="51"/>
        <item m="1" x="49"/>
        <item x="6"/>
        <item m="1" x="48"/>
        <item x="2"/>
        <item m="1" x="35"/>
        <item x="3"/>
        <item m="1" x="46"/>
        <item m="1" x="41"/>
        <item m="1" x="42"/>
        <item m="1" x="45"/>
        <item x="15"/>
        <item m="1" x="52"/>
        <item x="12"/>
        <item m="1" x="37"/>
        <item m="1" x="33"/>
        <item m="1" x="38"/>
        <item m="1" x="39"/>
        <item m="1" x="40"/>
        <item x="10"/>
        <item m="1" x="32"/>
        <item m="1" x="36"/>
        <item x="4"/>
        <item m="1" x="44"/>
        <item m="1" x="29"/>
        <item m="1" x="30"/>
        <item x="20"/>
        <item x="22"/>
        <item m="1" x="28"/>
        <item x="7"/>
        <item x="9"/>
        <item x="13"/>
        <item x="16"/>
        <item x="17"/>
        <item x="24"/>
        <item x="19"/>
        <item x="23"/>
        <item x="0"/>
        <item x="1"/>
        <item x="5"/>
        <item x="8"/>
        <item x="11"/>
        <item x="14"/>
        <item x="21"/>
        <item x="18"/>
        <item x="25"/>
        <item x="26"/>
        <item x="27"/>
        <item m="1" x="31"/>
        <item m="1" x="34"/>
        <item t="default"/>
      </items>
    </pivotField>
    <pivotField showAll="0"/>
    <pivotField showAll="0"/>
    <pivotField showAll="0"/>
    <pivotField axis="axisPage" multipleItemSelectionAllowed="1" showAll="0">
      <items count="5">
        <item x="0"/>
        <item h="1" x="2"/>
        <item h="1" x="1"/>
        <item h="1" m="1" x="3"/>
        <item t="default"/>
      </items>
    </pivotField>
    <pivotField showAll="0"/>
    <pivotField axis="axisRow" showAll="0">
      <items count="226">
        <item x="74"/>
        <item x="121"/>
        <item x="93"/>
        <item x="2"/>
        <item m="1" x="207"/>
        <item x="99"/>
        <item x="46"/>
        <item x="138"/>
        <item x="136"/>
        <item x="125"/>
        <item x="103"/>
        <item x="78"/>
        <item x="80"/>
        <item x="23"/>
        <item x="105"/>
        <item x="63"/>
        <item m="1" x="219"/>
        <item x="6"/>
        <item m="1" x="203"/>
        <item x="119"/>
        <item x="72"/>
        <item x="70"/>
        <item x="30"/>
        <item x="95"/>
        <item x="115"/>
        <item x="24"/>
        <item x="116"/>
        <item x="43"/>
        <item x="13"/>
        <item x="31"/>
        <item x="58"/>
        <item x="17"/>
        <item x="130"/>
        <item x="108"/>
        <item x="48"/>
        <item x="84"/>
        <item x="85"/>
        <item x="49"/>
        <item x="133"/>
        <item x="64"/>
        <item m="1" x="196"/>
        <item x="134"/>
        <item x="27"/>
        <item x="38"/>
        <item x="127"/>
        <item x="53"/>
        <item x="5"/>
        <item x="122"/>
        <item x="42"/>
        <item x="14"/>
        <item x="20"/>
        <item m="1" x="200"/>
        <item x="102"/>
        <item x="146"/>
        <item x="101"/>
        <item x="114"/>
        <item x="65"/>
        <item x="56"/>
        <item x="15"/>
        <item x="3"/>
        <item x="18"/>
        <item m="1" x="221"/>
        <item x="59"/>
        <item x="26"/>
        <item x="98"/>
        <item x="91"/>
        <item x="9"/>
        <item x="40"/>
        <item x="142"/>
        <item x="37"/>
        <item x="135"/>
        <item x="62"/>
        <item x="35"/>
        <item x="132"/>
        <item x="126"/>
        <item m="1" x="210"/>
        <item m="1" x="218"/>
        <item x="139"/>
        <item x="10"/>
        <item x="69"/>
        <item x="16"/>
        <item m="1" x="209"/>
        <item m="1" x="224"/>
        <item m="1" x="201"/>
        <item m="1" x="212"/>
        <item m="1" x="213"/>
        <item x="129"/>
        <item x="106"/>
        <item x="112"/>
        <item x="36"/>
        <item x="113"/>
        <item x="92"/>
        <item x="19"/>
        <item m="1" x="217"/>
        <item x="89"/>
        <item x="57"/>
        <item x="104"/>
        <item x="68"/>
        <item x="41"/>
        <item x="44"/>
        <item x="128"/>
        <item x="25"/>
        <item x="82"/>
        <item x="77"/>
        <item x="28"/>
        <item x="97"/>
        <item x="60"/>
        <item x="111"/>
        <item x="34"/>
        <item x="0"/>
        <item x="32"/>
        <item x="109"/>
        <item x="83"/>
        <item x="120"/>
        <item x="61"/>
        <item x="7"/>
        <item x="144"/>
        <item x="145"/>
        <item x="22"/>
        <item x="107"/>
        <item x="66"/>
        <item x="4"/>
        <item x="124"/>
        <item x="47"/>
        <item x="131"/>
        <item x="100"/>
        <item x="52"/>
        <item x="90"/>
        <item x="45"/>
        <item x="140"/>
        <item x="39"/>
        <item x="50"/>
        <item x="86"/>
        <item x="143"/>
        <item x="96"/>
        <item x="94"/>
        <item m="1" x="206"/>
        <item x="29"/>
        <item x="118"/>
        <item m="1" x="222"/>
        <item x="88"/>
        <item x="81"/>
        <item x="117"/>
        <item x="141"/>
        <item x="137"/>
        <item x="67"/>
        <item x="54"/>
        <item x="51"/>
        <item x="75"/>
        <item m="1" x="211"/>
        <item x="1"/>
        <item x="110"/>
        <item x="55"/>
        <item x="21"/>
        <item x="79"/>
        <item x="73"/>
        <item x="12"/>
        <item m="1" x="198"/>
        <item x="33"/>
        <item x="123"/>
        <item x="71"/>
        <item x="87"/>
        <item m="1" x="194"/>
        <item x="147"/>
        <item x="148"/>
        <item x="76"/>
        <item x="149"/>
        <item x="150"/>
        <item x="151"/>
        <item x="152"/>
        <item m="1" x="197"/>
        <item x="154"/>
        <item x="155"/>
        <item x="157"/>
        <item x="156"/>
        <item x="8"/>
        <item x="11"/>
        <item x="153"/>
        <item x="158"/>
        <item m="1" x="214"/>
        <item x="159"/>
        <item x="160"/>
        <item x="164"/>
        <item x="162"/>
        <item x="163"/>
        <item m="1" x="205"/>
        <item x="161"/>
        <item m="1" x="220"/>
        <item x="165"/>
        <item x="171"/>
        <item x="167"/>
        <item x="177"/>
        <item x="166"/>
        <item x="168"/>
        <item m="1" x="216"/>
        <item m="1" x="208"/>
        <item x="170"/>
        <item m="1" x="199"/>
        <item m="1" x="195"/>
        <item x="173"/>
        <item x="174"/>
        <item x="176"/>
        <item x="175"/>
        <item x="178"/>
        <item x="179"/>
        <item x="181"/>
        <item x="180"/>
        <item x="182"/>
        <item x="183"/>
        <item x="184"/>
        <item x="185"/>
        <item x="169"/>
        <item x="172"/>
        <item x="186"/>
        <item m="1" x="202"/>
        <item x="188"/>
        <item x="189"/>
        <item x="190"/>
        <item m="1" x="223"/>
        <item x="191"/>
        <item m="1" x="215"/>
        <item x="187"/>
        <item m="1" x="204"/>
        <item x="192"/>
        <item x="193"/>
        <item t="default"/>
      </items>
    </pivotField>
    <pivotField showAll="0"/>
    <pivotField dataField="1" showAll="0"/>
    <pivotField dataField="1"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Page" showAll="0">
      <items count="6">
        <item m="1" x="3"/>
        <item m="1" x="4"/>
        <item x="0"/>
        <item m="1" x="2"/>
        <item x="1"/>
        <item t="default"/>
      </items>
    </pivotField>
  </pivotFields>
  <rowFields count="3">
    <field x="6"/>
    <field x="0"/>
    <field x="10"/>
  </rowFields>
  <rowItems count="552">
    <i>
      <x/>
    </i>
    <i r="1">
      <x v="41"/>
    </i>
    <i r="2">
      <x v="3"/>
    </i>
    <i>
      <x v="3"/>
    </i>
    <i r="1">
      <x v="7"/>
    </i>
    <i r="2">
      <x/>
    </i>
    <i r="2">
      <x v="4"/>
    </i>
    <i r="1">
      <x v="41"/>
    </i>
    <i r="2">
      <x v="7"/>
    </i>
    <i r="2">
      <x v="8"/>
    </i>
    <i r="1">
      <x v="42"/>
    </i>
    <i r="2">
      <x/>
    </i>
    <i r="2">
      <x v="4"/>
    </i>
    <i r="2">
      <x v="6"/>
    </i>
    <i>
      <x v="8"/>
    </i>
    <i r="1">
      <x v="41"/>
    </i>
    <i r="2">
      <x v="6"/>
    </i>
    <i r="2">
      <x v="9"/>
    </i>
    <i>
      <x v="11"/>
    </i>
    <i r="1">
      <x v="16"/>
    </i>
    <i r="2">
      <x v="4"/>
    </i>
    <i r="1">
      <x v="22"/>
    </i>
    <i r="2">
      <x v="4"/>
    </i>
    <i>
      <x v="13"/>
    </i>
    <i r="1">
      <x v="9"/>
    </i>
    <i r="2">
      <x v="1"/>
    </i>
    <i>
      <x v="15"/>
    </i>
    <i r="1">
      <x v="41"/>
    </i>
    <i r="2">
      <x v="4"/>
    </i>
    <i>
      <x v="17"/>
    </i>
    <i r="1">
      <x v="7"/>
    </i>
    <i r="2">
      <x/>
    </i>
    <i r="2">
      <x v="4"/>
    </i>
    <i r="1">
      <x v="40"/>
    </i>
    <i r="2">
      <x v="2"/>
    </i>
    <i r="2">
      <x v="3"/>
    </i>
    <i r="2">
      <x v="4"/>
    </i>
    <i r="1">
      <x v="42"/>
    </i>
    <i r="2">
      <x/>
    </i>
    <i>
      <x v="20"/>
    </i>
    <i r="1">
      <x v="9"/>
    </i>
    <i r="2">
      <x v="3"/>
    </i>
    <i r="2">
      <x v="7"/>
    </i>
    <i>
      <x v="21"/>
    </i>
    <i r="1">
      <x v="16"/>
    </i>
    <i r="2">
      <x v="4"/>
    </i>
    <i r="1">
      <x v="22"/>
    </i>
    <i r="2">
      <x v="4"/>
    </i>
    <i r="1">
      <x v="40"/>
    </i>
    <i r="2">
      <x v="3"/>
    </i>
    <i r="1">
      <x v="41"/>
    </i>
    <i r="2">
      <x v="4"/>
    </i>
    <i>
      <x v="22"/>
    </i>
    <i r="1">
      <x v="9"/>
    </i>
    <i r="2">
      <x v="1"/>
    </i>
    <i r="2">
      <x v="4"/>
    </i>
    <i r="1">
      <x v="16"/>
    </i>
    <i r="2">
      <x v="3"/>
    </i>
    <i>
      <x v="25"/>
    </i>
    <i r="1">
      <x v="9"/>
    </i>
    <i r="2">
      <x v="7"/>
    </i>
    <i r="1">
      <x v="40"/>
    </i>
    <i r="2">
      <x v="1"/>
    </i>
    <i r="2">
      <x v="2"/>
    </i>
    <i>
      <x v="28"/>
    </i>
    <i r="1">
      <x v="32"/>
    </i>
    <i r="2">
      <x/>
    </i>
    <i>
      <x v="29"/>
    </i>
    <i r="1">
      <x v="9"/>
    </i>
    <i r="2">
      <x v="1"/>
    </i>
    <i r="1">
      <x v="39"/>
    </i>
    <i r="2">
      <x v="9"/>
    </i>
    <i>
      <x v="30"/>
    </i>
    <i r="1">
      <x v="45"/>
    </i>
    <i r="2">
      <x v="5"/>
    </i>
    <i>
      <x v="31"/>
    </i>
    <i r="1">
      <x v="41"/>
    </i>
    <i r="2">
      <x/>
    </i>
    <i r="2">
      <x v="1"/>
    </i>
    <i r="2">
      <x v="7"/>
    </i>
    <i r="2">
      <x v="9"/>
    </i>
    <i>
      <x v="33"/>
    </i>
    <i r="1">
      <x v="22"/>
    </i>
    <i r="2">
      <x v="5"/>
    </i>
    <i>
      <x v="34"/>
    </i>
    <i r="1">
      <x v="40"/>
    </i>
    <i r="2">
      <x v="5"/>
    </i>
    <i r="2">
      <x v="10"/>
    </i>
    <i>
      <x v="42"/>
    </i>
    <i r="1">
      <x v="9"/>
    </i>
    <i r="2">
      <x v="1"/>
    </i>
    <i r="2">
      <x v="2"/>
    </i>
    <i r="2">
      <x v="6"/>
    </i>
    <i r="2">
      <x v="10"/>
    </i>
    <i>
      <x v="45"/>
    </i>
    <i r="1">
      <x v="9"/>
    </i>
    <i r="2">
      <x v="10"/>
    </i>
    <i r="1">
      <x v="40"/>
    </i>
    <i r="2">
      <x v="1"/>
    </i>
    <i r="1">
      <x v="44"/>
    </i>
    <i r="2">
      <x v="7"/>
    </i>
    <i r="2">
      <x v="8"/>
    </i>
    <i>
      <x v="46"/>
    </i>
    <i r="1">
      <x v="25"/>
    </i>
    <i r="2">
      <x/>
    </i>
    <i r="1">
      <x v="41"/>
    </i>
    <i r="2">
      <x v="2"/>
    </i>
    <i r="1">
      <x v="45"/>
    </i>
    <i r="2">
      <x v="3"/>
    </i>
    <i>
      <x v="49"/>
    </i>
    <i r="1">
      <x v="37"/>
    </i>
    <i r="2">
      <x v="10"/>
    </i>
    <i r="2">
      <x v="11"/>
    </i>
    <i r="1">
      <x v="41"/>
    </i>
    <i r="2">
      <x/>
    </i>
    <i r="2">
      <x v="3"/>
    </i>
    <i r="2">
      <x v="7"/>
    </i>
    <i>
      <x v="50"/>
    </i>
    <i r="1">
      <x v="32"/>
    </i>
    <i r="2">
      <x v="1"/>
    </i>
    <i r="2">
      <x v="2"/>
    </i>
    <i r="2">
      <x v="3"/>
    </i>
    <i r="2">
      <x v="4"/>
    </i>
    <i r="2">
      <x v="8"/>
    </i>
    <i>
      <x v="56"/>
    </i>
    <i r="1">
      <x v="32"/>
    </i>
    <i r="2">
      <x v="2"/>
    </i>
    <i r="2">
      <x v="3"/>
    </i>
    <i>
      <x v="58"/>
    </i>
    <i r="1">
      <x v="9"/>
    </i>
    <i r="2">
      <x/>
    </i>
    <i r="1">
      <x v="40"/>
    </i>
    <i r="2">
      <x v="6"/>
    </i>
    <i r="2">
      <x v="11"/>
    </i>
    <i>
      <x v="59"/>
    </i>
    <i r="1">
      <x v="9"/>
    </i>
    <i r="2">
      <x/>
    </i>
    <i>
      <x v="60"/>
    </i>
    <i r="1">
      <x v="9"/>
    </i>
    <i r="2">
      <x/>
    </i>
    <i r="2">
      <x v="9"/>
    </i>
    <i r="2">
      <x v="10"/>
    </i>
    <i r="1">
      <x v="16"/>
    </i>
    <i r="2">
      <x v="7"/>
    </i>
    <i>
      <x v="62"/>
    </i>
    <i r="1">
      <x v="9"/>
    </i>
    <i r="2">
      <x v="2"/>
    </i>
    <i r="2">
      <x v="6"/>
    </i>
    <i r="1">
      <x v="16"/>
    </i>
    <i r="2">
      <x v="4"/>
    </i>
    <i>
      <x v="63"/>
    </i>
    <i r="1">
      <x v="9"/>
    </i>
    <i r="2">
      <x v="1"/>
    </i>
    <i>
      <x v="64"/>
    </i>
    <i r="1">
      <x v="40"/>
    </i>
    <i r="2">
      <x/>
    </i>
    <i r="2">
      <x v="1"/>
    </i>
    <i r="2">
      <x v="8"/>
    </i>
    <i r="2">
      <x v="9"/>
    </i>
    <i r="2">
      <x v="10"/>
    </i>
    <i>
      <x v="66"/>
    </i>
    <i r="1">
      <x v="5"/>
    </i>
    <i r="2">
      <x/>
    </i>
    <i r="2">
      <x v="1"/>
    </i>
    <i r="2">
      <x v="2"/>
    </i>
    <i>
      <x v="67"/>
    </i>
    <i r="1">
      <x v="9"/>
    </i>
    <i r="2">
      <x v="4"/>
    </i>
    <i r="1">
      <x v="16"/>
    </i>
    <i r="2">
      <x v="7"/>
    </i>
    <i r="2">
      <x v="10"/>
    </i>
    <i>
      <x v="68"/>
    </i>
    <i r="1">
      <x v="9"/>
    </i>
    <i r="2">
      <x v="6"/>
    </i>
    <i>
      <x v="72"/>
    </i>
    <i r="1">
      <x v="16"/>
    </i>
    <i r="2">
      <x v="2"/>
    </i>
    <i>
      <x v="73"/>
    </i>
    <i r="1">
      <x v="40"/>
    </i>
    <i r="2">
      <x v="6"/>
    </i>
    <i>
      <x v="74"/>
    </i>
    <i r="1">
      <x v="44"/>
    </i>
    <i r="2">
      <x v="5"/>
    </i>
    <i>
      <x v="78"/>
    </i>
    <i r="1">
      <x v="7"/>
    </i>
    <i r="2">
      <x v="4"/>
    </i>
    <i r="2">
      <x v="6"/>
    </i>
    <i r="1">
      <x v="14"/>
    </i>
    <i r="2">
      <x v="2"/>
    </i>
    <i r="1">
      <x v="16"/>
    </i>
    <i r="2">
      <x v="8"/>
    </i>
    <i r="1">
      <x v="30"/>
    </i>
    <i r="2">
      <x v="8"/>
    </i>
    <i r="1">
      <x v="32"/>
    </i>
    <i r="2">
      <x/>
    </i>
    <i r="2">
      <x v="3"/>
    </i>
    <i r="1">
      <x v="35"/>
    </i>
    <i r="2">
      <x v="9"/>
    </i>
    <i r="1">
      <x v="40"/>
    </i>
    <i r="2">
      <x/>
    </i>
    <i r="2">
      <x v="5"/>
    </i>
    <i r="1">
      <x v="41"/>
    </i>
    <i r="2">
      <x v="10"/>
    </i>
    <i r="1">
      <x v="42"/>
    </i>
    <i r="2">
      <x v="5"/>
    </i>
    <i r="2">
      <x v="6"/>
    </i>
    <i r="1">
      <x v="43"/>
    </i>
    <i r="2">
      <x v="4"/>
    </i>
    <i r="1">
      <x v="44"/>
    </i>
    <i r="2">
      <x v="3"/>
    </i>
    <i r="1">
      <x v="46"/>
    </i>
    <i r="2">
      <x v="8"/>
    </i>
    <i>
      <x v="89"/>
    </i>
    <i r="1">
      <x v="16"/>
    </i>
    <i r="2">
      <x v="2"/>
    </i>
    <i r="1">
      <x v="44"/>
    </i>
    <i r="2">
      <x v="7"/>
    </i>
    <i>
      <x v="92"/>
    </i>
    <i r="1">
      <x v="9"/>
    </i>
    <i r="2">
      <x v="1"/>
    </i>
    <i r="2">
      <x v="3"/>
    </i>
    <i>
      <x v="97"/>
    </i>
    <i r="1">
      <x v="9"/>
    </i>
    <i r="2">
      <x v="2"/>
    </i>
    <i>
      <x v="98"/>
    </i>
    <i r="1">
      <x v="9"/>
    </i>
    <i r="2">
      <x v="7"/>
    </i>
    <i>
      <x v="101"/>
    </i>
    <i r="1">
      <x v="40"/>
    </i>
    <i r="2">
      <x v="1"/>
    </i>
    <i r="2">
      <x v="2"/>
    </i>
    <i>
      <x v="102"/>
    </i>
    <i r="1">
      <x v="22"/>
    </i>
    <i r="2">
      <x v="4"/>
    </i>
    <i r="2">
      <x v="8"/>
    </i>
    <i>
      <x v="103"/>
    </i>
    <i r="1">
      <x v="9"/>
    </i>
    <i r="2">
      <x v="3"/>
    </i>
    <i>
      <x v="104"/>
    </i>
    <i r="1">
      <x v="25"/>
    </i>
    <i r="2">
      <x v="1"/>
    </i>
    <i r="2">
      <x v="2"/>
    </i>
    <i r="2">
      <x v="8"/>
    </i>
    <i>
      <x v="106"/>
    </i>
    <i r="1">
      <x v="9"/>
    </i>
    <i r="2">
      <x v="3"/>
    </i>
    <i r="2">
      <x v="8"/>
    </i>
    <i r="1">
      <x v="40"/>
    </i>
    <i r="2">
      <x v="4"/>
    </i>
    <i>
      <x v="108"/>
    </i>
    <i r="1">
      <x v="32"/>
    </i>
    <i r="2">
      <x v="2"/>
    </i>
    <i r="1">
      <x v="41"/>
    </i>
    <i r="2">
      <x v="2"/>
    </i>
    <i>
      <x v="109"/>
    </i>
    <i r="1">
      <x v="40"/>
    </i>
    <i r="2">
      <x/>
    </i>
    <i r="2">
      <x v="1"/>
    </i>
    <i r="2">
      <x v="2"/>
    </i>
    <i r="2">
      <x v="3"/>
    </i>
    <i r="2">
      <x v="6"/>
    </i>
    <i r="2">
      <x v="7"/>
    </i>
    <i r="2">
      <x v="8"/>
    </i>
    <i r="2">
      <x v="9"/>
    </i>
    <i r="2">
      <x v="10"/>
    </i>
    <i>
      <x v="110"/>
    </i>
    <i r="1">
      <x v="9"/>
    </i>
    <i r="2">
      <x v="1"/>
    </i>
    <i r="2">
      <x v="2"/>
    </i>
    <i r="1">
      <x v="40"/>
    </i>
    <i r="2">
      <x v="8"/>
    </i>
    <i r="1">
      <x v="41"/>
    </i>
    <i r="2">
      <x/>
    </i>
    <i>
      <x v="111"/>
    </i>
    <i r="1">
      <x v="22"/>
    </i>
    <i r="2">
      <x v="5"/>
    </i>
    <i>
      <x v="112"/>
    </i>
    <i r="1">
      <x v="25"/>
    </i>
    <i r="2">
      <x v="6"/>
    </i>
    <i>
      <x v="114"/>
    </i>
    <i r="1">
      <x v="44"/>
    </i>
    <i r="2">
      <x/>
    </i>
    <i r="2">
      <x v="10"/>
    </i>
    <i r="1">
      <x v="45"/>
    </i>
    <i r="2">
      <x v="2"/>
    </i>
    <i r="2">
      <x v="9"/>
    </i>
    <i>
      <x v="115"/>
    </i>
    <i r="1">
      <x v="41"/>
    </i>
    <i r="2">
      <x/>
    </i>
    <i r="2">
      <x v="1"/>
    </i>
    <i>
      <x v="116"/>
    </i>
    <i r="1">
      <x v="44"/>
    </i>
    <i r="2">
      <x v="7"/>
    </i>
    <i>
      <x v="118"/>
    </i>
    <i r="1">
      <x v="9"/>
    </i>
    <i r="2">
      <x v="1"/>
    </i>
    <i r="2">
      <x v="2"/>
    </i>
    <i r="2">
      <x v="5"/>
    </i>
    <i r="2">
      <x v="9"/>
    </i>
    <i r="2">
      <x v="10"/>
    </i>
    <i r="2">
      <x v="11"/>
    </i>
    <i r="1">
      <x v="44"/>
    </i>
    <i r="2">
      <x v="9"/>
    </i>
    <i>
      <x v="119"/>
    </i>
    <i r="1">
      <x v="41"/>
    </i>
    <i r="2">
      <x v="5"/>
    </i>
    <i r="2">
      <x v="8"/>
    </i>
    <i>
      <x v="120"/>
    </i>
    <i r="1">
      <x v="9"/>
    </i>
    <i r="2">
      <x v="2"/>
    </i>
    <i>
      <x v="121"/>
    </i>
    <i r="1">
      <x v="9"/>
    </i>
    <i r="2">
      <x/>
    </i>
    <i>
      <x v="125"/>
    </i>
    <i r="1">
      <x v="44"/>
    </i>
    <i r="2">
      <x/>
    </i>
    <i r="2">
      <x v="1"/>
    </i>
    <i>
      <x v="126"/>
    </i>
    <i r="1">
      <x v="16"/>
    </i>
    <i r="2">
      <x v="6"/>
    </i>
    <i>
      <x v="128"/>
    </i>
    <i r="1">
      <x v="40"/>
    </i>
    <i r="2">
      <x/>
    </i>
    <i r="2">
      <x v="6"/>
    </i>
    <i>
      <x v="130"/>
    </i>
    <i r="1">
      <x v="16"/>
    </i>
    <i r="2">
      <x v="3"/>
    </i>
    <i>
      <x v="131"/>
    </i>
    <i r="1">
      <x v="9"/>
    </i>
    <i r="2">
      <x v="7"/>
    </i>
    <i r="1">
      <x v="40"/>
    </i>
    <i r="2">
      <x v="6"/>
    </i>
    <i r="2">
      <x v="11"/>
    </i>
    <i>
      <x v="132"/>
    </i>
    <i r="1">
      <x v="16"/>
    </i>
    <i r="2">
      <x v="6"/>
    </i>
    <i>
      <x v="137"/>
    </i>
    <i r="1">
      <x v="9"/>
    </i>
    <i r="2">
      <x v="1"/>
    </i>
    <i r="2">
      <x v="2"/>
    </i>
    <i>
      <x v="143"/>
    </i>
    <i r="1">
      <x v="32"/>
    </i>
    <i r="2">
      <x v="6"/>
    </i>
    <i r="2">
      <x v="7"/>
    </i>
    <i r="1">
      <x v="45"/>
    </i>
    <i r="2">
      <x/>
    </i>
    <i>
      <x v="144"/>
    </i>
    <i r="1">
      <x v="41"/>
    </i>
    <i r="2">
      <x v="6"/>
    </i>
    <i>
      <x v="145"/>
    </i>
    <i r="1">
      <x v="41"/>
    </i>
    <i r="2">
      <x v="2"/>
    </i>
    <i>
      <x v="147"/>
    </i>
    <i r="1">
      <x v="22"/>
    </i>
    <i r="2">
      <x v="7"/>
    </i>
    <i r="1">
      <x v="40"/>
    </i>
    <i r="2">
      <x v="3"/>
    </i>
    <i>
      <x v="148"/>
    </i>
    <i r="1">
      <x v="40"/>
    </i>
    <i r="2">
      <x v="3"/>
    </i>
    <i r="2">
      <x v="4"/>
    </i>
    <i>
      <x v="150"/>
    </i>
    <i r="1">
      <x v="9"/>
    </i>
    <i r="2">
      <x v="3"/>
    </i>
    <i r="2">
      <x v="7"/>
    </i>
    <i r="1">
      <x v="41"/>
    </i>
    <i r="2">
      <x/>
    </i>
    <i>
      <x v="151"/>
    </i>
    <i r="1">
      <x v="25"/>
    </i>
    <i r="2">
      <x/>
    </i>
    <i r="2">
      <x v="8"/>
    </i>
    <i r="2">
      <x v="10"/>
    </i>
    <i r="2">
      <x v="11"/>
    </i>
    <i r="1">
      <x v="41"/>
    </i>
    <i r="2">
      <x v="5"/>
    </i>
    <i>
      <x v="153"/>
    </i>
    <i r="1">
      <x v="9"/>
    </i>
    <i r="2">
      <x v="1"/>
    </i>
    <i r="2">
      <x v="4"/>
    </i>
    <i r="2">
      <x v="8"/>
    </i>
    <i r="1">
      <x v="41"/>
    </i>
    <i r="2">
      <x v="3"/>
    </i>
    <i>
      <x v="155"/>
    </i>
    <i r="1">
      <x v="22"/>
    </i>
    <i r="2">
      <x v="3"/>
    </i>
    <i>
      <x v="156"/>
    </i>
    <i r="1">
      <x v="32"/>
    </i>
    <i r="2">
      <x/>
    </i>
    <i r="2">
      <x v="4"/>
    </i>
    <i r="1">
      <x v="40"/>
    </i>
    <i r="2">
      <x v="5"/>
    </i>
    <i>
      <x v="158"/>
    </i>
    <i r="1">
      <x v="22"/>
    </i>
    <i r="2">
      <x v="1"/>
    </i>
    <i r="2">
      <x v="5"/>
    </i>
    <i>
      <x v="160"/>
    </i>
    <i r="1">
      <x v="44"/>
    </i>
    <i r="2">
      <x v="3"/>
    </i>
    <i>
      <x v="163"/>
    </i>
    <i r="1">
      <x v="40"/>
    </i>
    <i r="2">
      <x v="7"/>
    </i>
    <i r="2">
      <x v="10"/>
    </i>
    <i>
      <x v="165"/>
    </i>
    <i r="1">
      <x v="16"/>
    </i>
    <i r="2">
      <x v="7"/>
    </i>
    <i r="1">
      <x v="41"/>
    </i>
    <i r="2">
      <x v="3"/>
    </i>
    <i>
      <x v="166"/>
    </i>
    <i r="1">
      <x v="38"/>
    </i>
    <i r="2">
      <x v="7"/>
    </i>
    <i>
      <x v="167"/>
    </i>
    <i r="1">
      <x v="25"/>
    </i>
    <i r="2">
      <x v="8"/>
    </i>
    <i r="2">
      <x v="9"/>
    </i>
    <i>
      <x v="169"/>
    </i>
    <i r="1">
      <x v="40"/>
    </i>
    <i r="2">
      <x/>
    </i>
    <i r="2">
      <x v="9"/>
    </i>
    <i r="2">
      <x v="10"/>
    </i>
    <i>
      <x v="171"/>
    </i>
    <i r="1">
      <x v="37"/>
    </i>
    <i r="2">
      <x v="9"/>
    </i>
    <i>
      <x v="172"/>
    </i>
    <i r="1">
      <x v="16"/>
    </i>
    <i r="2">
      <x v="9"/>
    </i>
    <i>
      <x v="173"/>
    </i>
    <i r="1">
      <x v="40"/>
    </i>
    <i r="2">
      <x/>
    </i>
    <i r="1">
      <x v="45"/>
    </i>
    <i r="2">
      <x v="9"/>
    </i>
    <i>
      <x v="174"/>
    </i>
    <i r="1">
      <x v="41"/>
    </i>
    <i r="2">
      <x v="9"/>
    </i>
    <i>
      <x v="175"/>
    </i>
    <i r="1">
      <x v="5"/>
    </i>
    <i r="2">
      <x/>
    </i>
    <i r="2">
      <x v="3"/>
    </i>
    <i r="1">
      <x v="7"/>
    </i>
    <i r="2">
      <x v="4"/>
    </i>
    <i r="2">
      <x v="6"/>
    </i>
    <i r="1">
      <x v="9"/>
    </i>
    <i r="2">
      <x v="1"/>
    </i>
    <i r="1">
      <x v="14"/>
    </i>
    <i r="2">
      <x v="9"/>
    </i>
    <i r="1">
      <x v="16"/>
    </i>
    <i r="2">
      <x v="9"/>
    </i>
    <i r="2">
      <x v="11"/>
    </i>
    <i r="1">
      <x v="22"/>
    </i>
    <i r="2">
      <x v="3"/>
    </i>
    <i r="1">
      <x v="25"/>
    </i>
    <i r="2">
      <x v="7"/>
    </i>
    <i r="1">
      <x v="30"/>
    </i>
    <i r="2">
      <x v="8"/>
    </i>
    <i r="1">
      <x v="32"/>
    </i>
    <i r="2">
      <x v="1"/>
    </i>
    <i r="1">
      <x v="34"/>
    </i>
    <i r="2">
      <x v="10"/>
    </i>
    <i r="2">
      <x v="11"/>
    </i>
    <i r="1">
      <x v="35"/>
    </i>
    <i r="2">
      <x v="9"/>
    </i>
    <i r="1">
      <x v="40"/>
    </i>
    <i r="2">
      <x/>
    </i>
    <i r="2">
      <x v="1"/>
    </i>
    <i r="2">
      <x v="4"/>
    </i>
    <i r="2">
      <x v="5"/>
    </i>
    <i r="2">
      <x v="6"/>
    </i>
    <i r="1">
      <x v="41"/>
    </i>
    <i r="2">
      <x v="1"/>
    </i>
    <i r="1">
      <x v="43"/>
    </i>
    <i r="2">
      <x v="7"/>
    </i>
    <i r="1">
      <x v="44"/>
    </i>
    <i r="2">
      <x v="2"/>
    </i>
    <i r="2">
      <x v="9"/>
    </i>
    <i r="2">
      <x v="11"/>
    </i>
    <i>
      <x v="176"/>
    </i>
    <i r="1">
      <x v="5"/>
    </i>
    <i r="2">
      <x/>
    </i>
    <i r="1">
      <x v="9"/>
    </i>
    <i r="2">
      <x/>
    </i>
    <i r="1">
      <x v="16"/>
    </i>
    <i r="2">
      <x/>
    </i>
    <i r="1">
      <x v="25"/>
    </i>
    <i r="2">
      <x/>
    </i>
    <i r="1">
      <x v="37"/>
    </i>
    <i r="2">
      <x v="11"/>
    </i>
    <i r="1">
      <x v="42"/>
    </i>
    <i r="2">
      <x v="4"/>
    </i>
    <i r="2">
      <x v="5"/>
    </i>
    <i r="1">
      <x v="45"/>
    </i>
    <i r="2">
      <x v="6"/>
    </i>
    <i>
      <x v="177"/>
    </i>
    <i r="1">
      <x v="16"/>
    </i>
    <i r="2">
      <x v="9"/>
    </i>
    <i r="1">
      <x v="25"/>
    </i>
    <i r="2">
      <x v="1"/>
    </i>
    <i r="1">
      <x v="40"/>
    </i>
    <i r="2">
      <x/>
    </i>
    <i r="2">
      <x v="1"/>
    </i>
    <i r="1">
      <x v="41"/>
    </i>
    <i r="2">
      <x v="1"/>
    </i>
    <i r="1">
      <x v="42"/>
    </i>
    <i r="2">
      <x v="1"/>
    </i>
    <i>
      <x v="178"/>
    </i>
    <i r="1">
      <x v="9"/>
    </i>
    <i r="2">
      <x v="10"/>
    </i>
    <i r="1">
      <x v="44"/>
    </i>
    <i r="2">
      <x v="11"/>
    </i>
    <i>
      <x v="180"/>
    </i>
    <i r="1">
      <x v="9"/>
    </i>
    <i r="2">
      <x v="10"/>
    </i>
    <i>
      <x v="183"/>
    </i>
    <i r="1">
      <x v="40"/>
    </i>
    <i r="2">
      <x/>
    </i>
    <i>
      <x v="201"/>
    </i>
    <i r="1">
      <x v="41"/>
    </i>
    <i r="2">
      <x v="10"/>
    </i>
    <i>
      <x v="202"/>
    </i>
    <i r="1">
      <x v="41"/>
    </i>
    <i r="2">
      <x v="10"/>
    </i>
    <i>
      <x v="206"/>
    </i>
    <i r="1">
      <x v="9"/>
    </i>
    <i r="2">
      <x v="10"/>
    </i>
    <i r="1">
      <x v="25"/>
    </i>
    <i r="2">
      <x v="10"/>
    </i>
    <i r="1">
      <x v="40"/>
    </i>
    <i r="2">
      <x/>
    </i>
    <i r="1">
      <x v="41"/>
    </i>
    <i r="2">
      <x v="11"/>
    </i>
    <i>
      <x v="212"/>
    </i>
    <i r="1">
      <x v="9"/>
    </i>
    <i r="2">
      <x/>
    </i>
    <i>
      <x v="215"/>
    </i>
    <i r="1">
      <x v="44"/>
    </i>
    <i r="2">
      <x/>
    </i>
    <i>
      <x v="216"/>
    </i>
    <i r="1">
      <x v="44"/>
    </i>
    <i r="2">
      <x/>
    </i>
    <i>
      <x v="217"/>
    </i>
    <i r="1">
      <x v="41"/>
    </i>
    <i r="2">
      <x/>
    </i>
    <i>
      <x v="219"/>
    </i>
    <i r="1">
      <x v="32"/>
    </i>
    <i r="2">
      <x/>
    </i>
    <i r="1">
      <x v="33"/>
    </i>
    <i r="2">
      <x/>
    </i>
    <i>
      <x v="221"/>
    </i>
    <i r="1">
      <x v="41"/>
    </i>
    <i r="2">
      <x/>
    </i>
    <i>
      <x v="224"/>
    </i>
    <i r="1">
      <x v="40"/>
    </i>
    <i r="2">
      <x v="1"/>
    </i>
    <i t="grand">
      <x/>
    </i>
  </rowItems>
  <colFields count="1">
    <field x="-2"/>
  </colFields>
  <colItems count="2">
    <i>
      <x/>
    </i>
    <i i="1">
      <x v="1"/>
    </i>
  </colItems>
  <pageFields count="2">
    <pageField fld="11" hier="-1"/>
    <pageField fld="4" hier="-1"/>
  </pageFields>
  <dataFields count="2">
    <dataField name="Soma de VGV" fld="8" baseField="0" baseItem="0" numFmtId="4"/>
    <dataField name="Contar de Vendas" fld="9" subtotal="count" baseField="0" baseItem="0"/>
  </dataFields>
  <formats count="1">
    <format dxfId="104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Medium2" showRowHeaders="1" showColHeaders="1" showRowStripes="0" showColStripes="0" showLastColumn="1"/>
</pivotTableDefinition>
</file>

<file path=xl/pivotTables/pivotTable11.xml><?xml version="1.0" encoding="utf-8"?>
<pivotTableDefinition xmlns="http://schemas.openxmlformats.org/spreadsheetml/2006/main" name="Tabela dinâmica1" cacheId="11" applyNumberFormats="0" applyBorderFormats="0" applyFontFormats="0" applyPatternFormats="0" applyAlignmentFormats="0" applyWidthHeightFormats="1" dataCaption="Valores" updatedVersion="4" minRefreshableVersion="3" showCalcMbrs="0" useAutoFormatting="1" itemPrintTitles="1" createdVersion="3" indent="0" outline="1" outlineData="1" multipleFieldFilters="0">
  <location ref="A3:A198" firstHeaderRow="1" firstDataRow="1" firstDataCol="1"/>
  <pivotFields count="12">
    <pivotField showAll="0"/>
    <pivotField showAll="0"/>
    <pivotField showAll="0"/>
    <pivotField showAll="0"/>
    <pivotField showAll="0"/>
    <pivotField numFmtId="14" showAll="0"/>
    <pivotField axis="axisRow" showAll="0">
      <items count="226">
        <item x="74"/>
        <item x="121"/>
        <item x="93"/>
        <item x="2"/>
        <item m="1" x="207"/>
        <item x="164"/>
        <item x="159"/>
        <item x="99"/>
        <item x="155"/>
        <item x="46"/>
        <item x="158"/>
        <item x="138"/>
        <item x="136"/>
        <item x="147"/>
        <item x="125"/>
        <item x="103"/>
        <item x="157"/>
        <item x="78"/>
        <item x="80"/>
        <item x="23"/>
        <item x="105"/>
        <item x="150"/>
        <item x="63"/>
        <item m="1" x="219"/>
        <item x="149"/>
        <item x="6"/>
        <item m="1" x="203"/>
        <item x="119"/>
        <item x="72"/>
        <item x="70"/>
        <item x="30"/>
        <item x="95"/>
        <item x="115"/>
        <item m="1" x="195"/>
        <item x="24"/>
        <item x="116"/>
        <item x="43"/>
        <item x="13"/>
        <item x="160"/>
        <item x="31"/>
        <item x="168"/>
        <item x="176"/>
        <item x="58"/>
        <item x="17"/>
        <item m="1" x="199"/>
        <item x="130"/>
        <item x="108"/>
        <item x="48"/>
        <item x="84"/>
        <item x="85"/>
        <item x="49"/>
        <item x="133"/>
        <item x="64"/>
        <item x="76"/>
        <item m="1" x="196"/>
        <item x="134"/>
        <item x="27"/>
        <item x="178"/>
        <item x="38"/>
        <item x="127"/>
        <item x="53"/>
        <item x="5"/>
        <item x="122"/>
        <item x="42"/>
        <item x="14"/>
        <item x="20"/>
        <item m="1" x="200"/>
        <item x="102"/>
        <item x="146"/>
        <item x="101"/>
        <item x="162"/>
        <item x="114"/>
        <item x="65"/>
        <item x="56"/>
        <item x="15"/>
        <item x="3"/>
        <item x="18"/>
        <item m="1" x="221"/>
        <item x="59"/>
        <item x="26"/>
        <item x="98"/>
        <item x="91"/>
        <item x="9"/>
        <item x="40"/>
        <item x="142"/>
        <item x="37"/>
        <item x="135"/>
        <item x="62"/>
        <item x="35"/>
        <item x="132"/>
        <item x="126"/>
        <item m="1" x="210"/>
        <item m="1" x="218"/>
        <item m="1" x="197"/>
        <item x="139"/>
        <item x="10"/>
        <item x="11"/>
        <item x="69"/>
        <item x="8"/>
        <item x="153"/>
        <item x="16"/>
        <item m="1" x="209"/>
        <item m="1" x="224"/>
        <item m="1" x="201"/>
        <item m="1" x="212"/>
        <item m="1" x="213"/>
        <item x="129"/>
        <item x="106"/>
        <item x="112"/>
        <item x="36"/>
        <item x="113"/>
        <item x="92"/>
        <item x="19"/>
        <item m="1" x="217"/>
        <item x="89"/>
        <item x="57"/>
        <item x="148"/>
        <item x="104"/>
        <item m="1" x="205"/>
        <item x="68"/>
        <item x="41"/>
        <item x="44"/>
        <item x="128"/>
        <item x="156"/>
        <item x="25"/>
        <item x="82"/>
        <item x="183"/>
        <item x="77"/>
        <item x="28"/>
        <item x="173"/>
        <item x="97"/>
        <item x="60"/>
        <item x="170"/>
        <item x="111"/>
        <item x="34"/>
        <item x="0"/>
        <item x="166"/>
        <item x="32"/>
        <item x="109"/>
        <item x="83"/>
        <item x="120"/>
        <item x="175"/>
        <item x="61"/>
        <item x="7"/>
        <item x="144"/>
        <item x="181"/>
        <item x="145"/>
        <item x="22"/>
        <item x="107"/>
        <item x="66"/>
        <item x="4"/>
        <item x="174"/>
        <item m="1" x="216"/>
        <item x="124"/>
        <item x="47"/>
        <item x="177"/>
        <item x="131"/>
        <item x="100"/>
        <item m="1" x="214"/>
        <item x="52"/>
        <item m="1" x="208"/>
        <item x="167"/>
        <item x="90"/>
        <item x="182"/>
        <item x="45"/>
        <item x="163"/>
        <item x="140"/>
        <item m="1" x="220"/>
        <item x="39"/>
        <item x="154"/>
        <item x="50"/>
        <item x="86"/>
        <item x="161"/>
        <item x="143"/>
        <item x="96"/>
        <item x="94"/>
        <item m="1" x="206"/>
        <item x="29"/>
        <item x="118"/>
        <item x="171"/>
        <item m="1" x="222"/>
        <item x="88"/>
        <item x="179"/>
        <item x="81"/>
        <item x="117"/>
        <item x="141"/>
        <item x="180"/>
        <item x="137"/>
        <item x="67"/>
        <item x="165"/>
        <item x="54"/>
        <item x="51"/>
        <item x="75"/>
        <item m="1" x="211"/>
        <item x="1"/>
        <item x="110"/>
        <item x="55"/>
        <item x="21"/>
        <item x="79"/>
        <item x="151"/>
        <item x="73"/>
        <item x="12"/>
        <item m="1" x="198"/>
        <item x="152"/>
        <item x="33"/>
        <item x="123"/>
        <item x="71"/>
        <item x="87"/>
        <item m="1" x="194"/>
        <item x="184"/>
        <item x="185"/>
        <item x="169"/>
        <item x="172"/>
        <item x="186"/>
        <item m="1" x="202"/>
        <item x="188"/>
        <item x="189"/>
        <item x="190"/>
        <item m="1" x="223"/>
        <item x="191"/>
        <item m="1" x="215"/>
        <item x="187"/>
        <item m="1" x="204"/>
        <item x="192"/>
        <item x="193"/>
        <item t="default"/>
      </items>
    </pivotField>
    <pivotField showAll="0"/>
    <pivotField showAll="0"/>
    <pivotField showAll="0"/>
    <pivotField numFmtId="171" showAll="0"/>
    <pivotField numFmtId="171" showAll="0"/>
  </pivotFields>
  <rowFields count="1">
    <field x="6"/>
  </rowFields>
  <rowItems count="195">
    <i>
      <x/>
    </i>
    <i>
      <x v="1"/>
    </i>
    <i>
      <x v="2"/>
    </i>
    <i>
      <x v="3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4"/>
    </i>
    <i>
      <x v="25"/>
    </i>
    <i>
      <x v="27"/>
    </i>
    <i>
      <x v="28"/>
    </i>
    <i>
      <x v="29"/>
    </i>
    <i>
      <x v="30"/>
    </i>
    <i>
      <x v="31"/>
    </i>
    <i>
      <x v="32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4"/>
    </i>
    <i>
      <x v="115"/>
    </i>
    <i>
      <x v="116"/>
    </i>
    <i>
      <x v="117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3"/>
    </i>
    <i>
      <x v="154"/>
    </i>
    <i>
      <x v="155"/>
    </i>
    <i>
      <x v="156"/>
    </i>
    <i>
      <x v="157"/>
    </i>
    <i>
      <x v="159"/>
    </i>
    <i>
      <x v="161"/>
    </i>
    <i>
      <x v="162"/>
    </i>
    <i>
      <x v="163"/>
    </i>
    <i>
      <x v="164"/>
    </i>
    <i>
      <x v="165"/>
    </i>
    <i>
      <x v="166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7"/>
    </i>
    <i>
      <x v="178"/>
    </i>
    <i>
      <x v="179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3"/>
    </i>
    <i>
      <x v="204"/>
    </i>
    <i>
      <x v="205"/>
    </i>
    <i>
      <x v="206"/>
    </i>
    <i>
      <x v="207"/>
    </i>
    <i>
      <x v="209"/>
    </i>
    <i>
      <x v="210"/>
    </i>
    <i>
      <x v="211"/>
    </i>
    <i>
      <x v="212"/>
    </i>
    <i>
      <x v="213"/>
    </i>
    <i>
      <x v="215"/>
    </i>
    <i>
      <x v="216"/>
    </i>
    <i>
      <x v="217"/>
    </i>
    <i>
      <x v="219"/>
    </i>
    <i>
      <x v="221"/>
    </i>
    <i>
      <x v="223"/>
    </i>
    <i>
      <x v="224"/>
    </i>
    <i t="grand">
      <x/>
    </i>
  </rowItems>
  <colItems count="1">
    <i/>
  </colItems>
  <pivotTableStyleInfo name="PivotStyleLight16" showRowHeaders="1" showColHeaders="1" showRowStripes="0" showColStripes="0" showLastColumn="1"/>
</pivotTableDefinition>
</file>

<file path=xl/pivotTables/pivotTable12.xml><?xml version="1.0" encoding="utf-8"?>
<pivotTableDefinition xmlns="http://schemas.openxmlformats.org/spreadsheetml/2006/main" name="Tabela dinâmica1" cacheId="11" applyNumberFormats="0" applyBorderFormats="0" applyFontFormats="0" applyPatternFormats="0" applyAlignmentFormats="0" applyWidthHeightFormats="1" dataCaption="Valores" updatedVersion="4" minRefreshableVersion="3" showCalcMbrs="0" useAutoFormatting="1" itemPrintTitles="1" createdVersion="3" indent="0" outline="1" outlineData="1" multipleFieldFilters="0">
  <location ref="A4:C189" firstHeaderRow="1" firstDataRow="2" firstDataCol="1" rowPageCount="2" colPageCount="1"/>
  <pivotFields count="12">
    <pivotField showAll="0"/>
    <pivotField showAll="0"/>
    <pivotField showAll="0"/>
    <pivotField axis="axisRow" showAll="0">
      <items count="8">
        <item x="0"/>
        <item m="1" x="4"/>
        <item x="2"/>
        <item x="1"/>
        <item m="1" x="6"/>
        <item m="1" x="5"/>
        <item m="1" x="3"/>
        <item t="default"/>
      </items>
    </pivotField>
    <pivotField axis="axisRow" showAll="0">
      <items count="5">
        <item x="0"/>
        <item x="2"/>
        <item x="1"/>
        <item m="1" x="3"/>
        <item t="default"/>
      </items>
    </pivotField>
    <pivotField numFmtId="14" showAll="0"/>
    <pivotField axis="axisRow" showAll="0" sortType="descending">
      <items count="226">
        <item x="74"/>
        <item x="121"/>
        <item x="93"/>
        <item x="2"/>
        <item m="1" x="207"/>
        <item x="164"/>
        <item x="159"/>
        <item x="99"/>
        <item x="155"/>
        <item x="46"/>
        <item x="158"/>
        <item x="138"/>
        <item x="136"/>
        <item x="147"/>
        <item x="125"/>
        <item x="103"/>
        <item x="157"/>
        <item x="78"/>
        <item x="80"/>
        <item x="23"/>
        <item x="105"/>
        <item x="150"/>
        <item x="63"/>
        <item m="1" x="219"/>
        <item x="149"/>
        <item x="6"/>
        <item m="1" x="203"/>
        <item x="119"/>
        <item x="72"/>
        <item x="184"/>
        <item x="70"/>
        <item x="30"/>
        <item x="95"/>
        <item x="115"/>
        <item m="1" x="195"/>
        <item x="24"/>
        <item x="116"/>
        <item x="43"/>
        <item x="13"/>
        <item x="160"/>
        <item x="31"/>
        <item x="168"/>
        <item x="176"/>
        <item x="58"/>
        <item x="17"/>
        <item m="1" x="199"/>
        <item x="130"/>
        <item x="172"/>
        <item x="108"/>
        <item x="48"/>
        <item x="84"/>
        <item x="85"/>
        <item x="49"/>
        <item x="133"/>
        <item x="64"/>
        <item x="76"/>
        <item m="1" x="196"/>
        <item x="134"/>
        <item x="27"/>
        <item x="178"/>
        <item x="38"/>
        <item x="127"/>
        <item x="53"/>
        <item x="5"/>
        <item x="122"/>
        <item x="42"/>
        <item x="14"/>
        <item x="20"/>
        <item m="1" x="200"/>
        <item x="102"/>
        <item x="146"/>
        <item x="101"/>
        <item x="162"/>
        <item x="114"/>
        <item x="65"/>
        <item x="56"/>
        <item x="15"/>
        <item x="3"/>
        <item x="18"/>
        <item m="1" x="221"/>
        <item x="59"/>
        <item x="26"/>
        <item x="98"/>
        <item x="91"/>
        <item x="9"/>
        <item x="40"/>
        <item x="142"/>
        <item x="37"/>
        <item x="135"/>
        <item x="62"/>
        <item x="35"/>
        <item x="132"/>
        <item x="126"/>
        <item m="1" x="210"/>
        <item m="1" x="218"/>
        <item m="1" x="197"/>
        <item x="139"/>
        <item x="10"/>
        <item x="11"/>
        <item x="69"/>
        <item x="8"/>
        <item x="153"/>
        <item x="16"/>
        <item m="1" x="209"/>
        <item m="1" x="224"/>
        <item m="1" x="201"/>
        <item m="1" x="212"/>
        <item m="1" x="213"/>
        <item x="129"/>
        <item x="106"/>
        <item x="112"/>
        <item x="36"/>
        <item x="113"/>
        <item x="92"/>
        <item x="19"/>
        <item m="1" x="217"/>
        <item x="185"/>
        <item x="89"/>
        <item x="186"/>
        <item x="57"/>
        <item x="148"/>
        <item x="104"/>
        <item m="1" x="205"/>
        <item x="68"/>
        <item x="41"/>
        <item x="44"/>
        <item x="128"/>
        <item x="156"/>
        <item x="25"/>
        <item x="82"/>
        <item x="183"/>
        <item x="77"/>
        <item x="28"/>
        <item x="173"/>
        <item x="97"/>
        <item x="60"/>
        <item x="170"/>
        <item x="111"/>
        <item x="34"/>
        <item x="0"/>
        <item x="166"/>
        <item x="32"/>
        <item x="109"/>
        <item x="83"/>
        <item x="120"/>
        <item x="175"/>
        <item x="61"/>
        <item x="7"/>
        <item x="144"/>
        <item x="181"/>
        <item x="145"/>
        <item x="22"/>
        <item x="107"/>
        <item x="66"/>
        <item x="4"/>
        <item x="174"/>
        <item m="1" x="216"/>
        <item x="124"/>
        <item x="47"/>
        <item x="177"/>
        <item x="131"/>
        <item x="100"/>
        <item m="1" x="214"/>
        <item x="52"/>
        <item m="1" x="208"/>
        <item x="169"/>
        <item x="167"/>
        <item x="188"/>
        <item x="90"/>
        <item x="182"/>
        <item x="45"/>
        <item x="163"/>
        <item x="140"/>
        <item m="1" x="220"/>
        <item x="39"/>
        <item x="154"/>
        <item x="50"/>
        <item x="86"/>
        <item x="161"/>
        <item x="143"/>
        <item x="96"/>
        <item x="94"/>
        <item m="1" x="206"/>
        <item x="29"/>
        <item x="118"/>
        <item x="171"/>
        <item m="1" x="222"/>
        <item x="88"/>
        <item x="179"/>
        <item x="81"/>
        <item x="117"/>
        <item x="141"/>
        <item x="180"/>
        <item x="137"/>
        <item x="67"/>
        <item x="165"/>
        <item x="54"/>
        <item x="51"/>
        <item x="75"/>
        <item m="1" x="211"/>
        <item x="1"/>
        <item x="110"/>
        <item x="55"/>
        <item x="21"/>
        <item x="79"/>
        <item x="151"/>
        <item x="73"/>
        <item x="12"/>
        <item m="1" x="198"/>
        <item x="152"/>
        <item x="33"/>
        <item x="123"/>
        <item x="71"/>
        <item x="87"/>
        <item m="1" x="202"/>
        <item m="1" x="194"/>
        <item x="189"/>
        <item x="190"/>
        <item m="1" x="223"/>
        <item x="191"/>
        <item m="1" x="215"/>
        <item x="187"/>
        <item m="1" x="204"/>
        <item x="192"/>
        <item x="19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dataField="1" showAll="0"/>
    <pivotField axis="axisPage" numFmtId="171" multipleItemSelectionAllowed="1" showAll="0">
      <items count="13">
        <item h="1" x="0"/>
        <item h="1" x="1"/>
        <item h="1" x="2"/>
        <item h="1" x="3"/>
        <item h="1" x="4"/>
        <item h="1" x="5"/>
        <item x="6"/>
        <item x="7"/>
        <item x="8"/>
        <item x="9"/>
        <item x="10"/>
        <item x="11"/>
        <item t="default"/>
      </items>
    </pivotField>
    <pivotField axis="axisPage" numFmtId="171" multipleItemSelectionAllowed="1" showAll="0">
      <items count="6">
        <item m="1" x="3"/>
        <item m="1" x="4"/>
        <item x="0"/>
        <item h="1" x="1"/>
        <item m="1" x="2"/>
        <item t="default"/>
      </items>
    </pivotField>
  </pivotFields>
  <rowFields count="3">
    <field x="3"/>
    <field x="4"/>
    <field x="6"/>
  </rowFields>
  <rowItems count="184">
    <i>
      <x/>
    </i>
    <i r="1">
      <x/>
    </i>
    <i r="2">
      <x v="146"/>
    </i>
    <i r="2">
      <x v="16"/>
    </i>
    <i r="2">
      <x v="197"/>
    </i>
    <i r="2">
      <x v="129"/>
    </i>
    <i r="2">
      <x v="58"/>
    </i>
    <i r="2">
      <x v="139"/>
    </i>
    <i r="2">
      <x v="85"/>
    </i>
    <i r="2">
      <x v="78"/>
    </i>
    <i r="2">
      <x v="62"/>
    </i>
    <i r="2">
      <x v="191"/>
    </i>
    <i r="2">
      <x v="192"/>
    </i>
    <i r="2">
      <x v="13"/>
    </i>
    <i r="2">
      <x v="151"/>
    </i>
    <i r="2">
      <x v="44"/>
    </i>
    <i r="2">
      <x v="66"/>
    </i>
    <i r="2">
      <x v="21"/>
    </i>
    <i r="2">
      <x v="201"/>
    </i>
    <i r="2">
      <x v="10"/>
    </i>
    <i r="2">
      <x v="82"/>
    </i>
    <i r="2">
      <x v="152"/>
    </i>
    <i r="2">
      <x v="175"/>
    </i>
    <i r="2">
      <x v="67"/>
    </i>
    <i r="2">
      <x v="176"/>
    </i>
    <i r="2">
      <x v="203"/>
    </i>
    <i r="2">
      <x v="3"/>
    </i>
    <i r="2">
      <x v="124"/>
    </i>
    <i r="2">
      <x v="80"/>
    </i>
    <i r="2">
      <x v="6"/>
    </i>
    <i r="2">
      <x v="86"/>
    </i>
    <i r="2">
      <x v="111"/>
    </i>
    <i r="2">
      <x v="8"/>
    </i>
    <i r="2">
      <x v="24"/>
    </i>
    <i r="2">
      <x v="177"/>
    </i>
    <i r="2">
      <x v="163"/>
    </i>
    <i r="2">
      <x v="148"/>
    </i>
    <i r="2">
      <x v="55"/>
    </i>
    <i r="2">
      <x v="12"/>
    </i>
    <i r="2">
      <x v="132"/>
    </i>
    <i r="2">
      <x v="143"/>
    </i>
    <i r="2">
      <x v="76"/>
    </i>
    <i r="2">
      <x v="209"/>
    </i>
    <i r="2">
      <x v="200"/>
    </i>
    <i r="2">
      <x v="35"/>
    </i>
    <i r="2">
      <x v="40"/>
    </i>
    <i r="2">
      <x v="28"/>
    </i>
    <i r="2">
      <x v="127"/>
    </i>
    <i r="2">
      <x v="141"/>
    </i>
    <i r="2">
      <x v="91"/>
    </i>
    <i r="2">
      <x v="145"/>
    </i>
    <i r="2">
      <x v="42"/>
    </i>
    <i r="2">
      <x v="170"/>
    </i>
    <i r="2">
      <x v="193"/>
    </i>
    <i r="2">
      <x v="49"/>
    </i>
    <i r="2">
      <x v="135"/>
    </i>
    <i r="1">
      <x v="1"/>
    </i>
    <i r="2">
      <x v="110"/>
    </i>
    <i r="2">
      <x v="1"/>
    </i>
    <i r="2">
      <x v="60"/>
    </i>
    <i r="2">
      <x v="135"/>
    </i>
    <i r="2">
      <x v="168"/>
    </i>
    <i r="2">
      <x v="61"/>
    </i>
    <i r="2">
      <x v="146"/>
    </i>
    <i r="2">
      <x v="108"/>
    </i>
    <i r="2">
      <x v="46"/>
    </i>
    <i r="2">
      <x v="181"/>
    </i>
    <i r="2">
      <x v="166"/>
    </i>
    <i r="2">
      <x v="28"/>
    </i>
    <i r="2">
      <x v="190"/>
    </i>
    <i r="2">
      <x v="176"/>
    </i>
    <i r="2">
      <x v="177"/>
    </i>
    <i r="2">
      <x v="161"/>
    </i>
    <i r="2">
      <x v="212"/>
    </i>
    <i r="2">
      <x v="180"/>
    </i>
    <i r="2">
      <x v="187"/>
    </i>
    <i r="2">
      <x v="62"/>
    </i>
    <i r="2">
      <x v="138"/>
    </i>
    <i r="2">
      <x v="12"/>
    </i>
    <i r="2">
      <x v="66"/>
    </i>
    <i r="2">
      <x v="27"/>
    </i>
    <i r="2">
      <x v="128"/>
    </i>
    <i r="2">
      <x v="41"/>
    </i>
    <i r="2">
      <x v="172"/>
    </i>
    <i r="2">
      <x v="57"/>
    </i>
    <i r="2">
      <x v="63"/>
    </i>
    <i r="2">
      <x v="3"/>
    </i>
    <i r="2">
      <x v="175"/>
    </i>
    <i r="2">
      <x v="129"/>
    </i>
    <i r="2">
      <x v="155"/>
    </i>
    <i r="2">
      <x v="205"/>
    </i>
    <i r="2">
      <x v="141"/>
    </i>
    <i r="2">
      <x v="154"/>
    </i>
    <i r="2">
      <x v="120"/>
    </i>
    <i r="2">
      <x v="59"/>
    </i>
    <i r="2">
      <x v="184"/>
    </i>
    <i r="2">
      <x v="20"/>
    </i>
    <i r="2">
      <x v="6"/>
    </i>
    <i r="2">
      <x v="196"/>
    </i>
    <i r="2">
      <x v="33"/>
    </i>
    <i r="2">
      <x v="90"/>
    </i>
    <i r="2">
      <x v="54"/>
    </i>
    <i r="2">
      <x v="191"/>
    </i>
    <i r="2">
      <x v="157"/>
    </i>
    <i r="2">
      <x v="74"/>
    </i>
    <i r="2">
      <x v="123"/>
    </i>
    <i r="2">
      <x v="25"/>
    </i>
    <i r="2">
      <x v="160"/>
    </i>
    <i r="2">
      <x v="16"/>
    </i>
    <i r="2">
      <x v="52"/>
    </i>
    <i r="2">
      <x v="170"/>
    </i>
    <i r="2">
      <x v="171"/>
    </i>
    <i r="2">
      <x v="142"/>
    </i>
    <i r="2">
      <x v="78"/>
    </i>
    <i r="2">
      <x v="11"/>
    </i>
    <i r="2">
      <x v="188"/>
    </i>
    <i r="2">
      <x v="125"/>
    </i>
    <i r="2">
      <x v="58"/>
    </i>
    <i r="2">
      <x v="70"/>
    </i>
    <i r="2">
      <x v="124"/>
    </i>
    <i r="2">
      <x v="14"/>
    </i>
    <i r="2">
      <x v="150"/>
    </i>
    <i r="2">
      <x v="178"/>
    </i>
    <i r="2">
      <x v="116"/>
    </i>
    <i r="2">
      <x v="174"/>
    </i>
    <i r="2">
      <x v="5"/>
    </i>
    <i r="2">
      <x v="35"/>
    </i>
    <i r="2">
      <x v="158"/>
    </i>
    <i r="2">
      <x v="179"/>
    </i>
    <i r="2">
      <x v="39"/>
    </i>
    <i r="2">
      <x v="185"/>
    </i>
    <i r="2">
      <x v="189"/>
    </i>
    <i r="2">
      <x v="117"/>
    </i>
    <i r="2">
      <x v="169"/>
    </i>
    <i r="2">
      <x v="49"/>
    </i>
    <i r="2">
      <x v="118"/>
    </i>
    <i r="2">
      <x v="36"/>
    </i>
    <i r="2">
      <x v="159"/>
    </i>
    <i r="2">
      <x v="213"/>
    </i>
    <i r="2">
      <x v="53"/>
    </i>
    <i r="2">
      <x v="165"/>
    </i>
    <i r="2">
      <x v="29"/>
    </i>
    <i r="2">
      <x v="48"/>
    </i>
    <i r="2">
      <x v="143"/>
    </i>
    <i r="2">
      <x v="72"/>
    </i>
    <i r="2">
      <x v="203"/>
    </i>
    <i r="2">
      <x v="149"/>
    </i>
    <i r="2">
      <x v="55"/>
    </i>
    <i r="2">
      <x v="130"/>
    </i>
    <i r="2">
      <x v="24"/>
    </i>
    <i r="2">
      <x v="132"/>
    </i>
    <i r="2">
      <x v="82"/>
    </i>
    <i r="2">
      <x v="195"/>
    </i>
    <i r="2">
      <x v="136"/>
    </i>
    <i r="2">
      <x v="50"/>
    </i>
    <i r="2">
      <x v="140"/>
    </i>
    <i r="2">
      <x v="40"/>
    </i>
    <i r="2">
      <x v="42"/>
    </i>
    <i r="2">
      <x v="145"/>
    </i>
    <i r="2">
      <x v="30"/>
    </i>
    <i r="2">
      <x v="88"/>
    </i>
    <i r="2">
      <x v="133"/>
    </i>
    <i r="2">
      <x v="80"/>
    </i>
    <i r="2">
      <x v="47"/>
    </i>
    <i r="2">
      <x v="44"/>
    </i>
    <i r="2">
      <x v="86"/>
    </i>
    <i r="2">
      <x v="209"/>
    </i>
    <i>
      <x v="2"/>
    </i>
    <i r="1">
      <x v="2"/>
    </i>
    <i r="2">
      <x v="102"/>
    </i>
    <i r="2">
      <x v="99"/>
    </i>
    <i r="2">
      <x v="96"/>
    </i>
    <i>
      <x v="3"/>
    </i>
    <i r="1">
      <x/>
    </i>
    <i r="2">
      <x v="100"/>
    </i>
    <i r="2">
      <x v="101"/>
    </i>
    <i r="2">
      <x v="97"/>
    </i>
    <i r="2">
      <x v="98"/>
    </i>
    <i r="1">
      <x v="1"/>
    </i>
    <i r="2">
      <x v="100"/>
    </i>
    <i r="2">
      <x v="97"/>
    </i>
    <i r="2">
      <x v="98"/>
    </i>
    <i r="2">
      <x v="101"/>
    </i>
    <i t="grand">
      <x/>
    </i>
  </rowItems>
  <colFields count="1">
    <field x="-2"/>
  </colFields>
  <colItems count="2">
    <i>
      <x/>
    </i>
    <i i="1">
      <x v="1"/>
    </i>
  </colItems>
  <pageFields count="2">
    <pageField fld="11" hier="-1"/>
    <pageField fld="10" hier="-1"/>
  </pageFields>
  <dataFields count="2">
    <dataField name="Soma de VGV" fld="8" baseField="0" baseItem="0"/>
    <dataField name="Soma de Vendas" fld="9" baseField="0" baseItem="0"/>
  </dataFields>
  <formats count="14">
    <format dxfId="103">
      <pivotArea collapsedLevelsAreSubtotals="1" fieldPosition="0">
        <references count="1">
          <reference field="3" count="1">
            <x v="0"/>
          </reference>
        </references>
      </pivotArea>
    </format>
    <format dxfId="102">
      <pivotArea collapsedLevelsAreSubtotals="1" fieldPosition="0">
        <references count="2">
          <reference field="3" count="1" selected="0">
            <x v="0"/>
          </reference>
          <reference field="4" count="1">
            <x v="0"/>
          </reference>
        </references>
      </pivotArea>
    </format>
    <format dxfId="101">
      <pivotArea collapsedLevelsAreSubtotals="1" fieldPosition="0">
        <references count="3">
          <reference field="3" count="1" selected="0">
            <x v="0"/>
          </reference>
          <reference field="4" count="1" selected="0">
            <x v="0"/>
          </reference>
          <reference field="6" count="54">
            <x v="3"/>
            <x v="6"/>
            <x v="8"/>
            <x v="10"/>
            <x v="12"/>
            <x v="13"/>
            <x v="16"/>
            <x v="21"/>
            <x v="24"/>
            <x v="28"/>
            <x v="35"/>
            <x v="40"/>
            <x v="42"/>
            <x v="44"/>
            <x v="49"/>
            <x v="55"/>
            <x v="58"/>
            <x v="62"/>
            <x v="66"/>
            <x v="67"/>
            <x v="76"/>
            <x v="78"/>
            <x v="80"/>
            <x v="82"/>
            <x v="85"/>
            <x v="86"/>
            <x v="91"/>
            <x v="111"/>
            <x v="124"/>
            <x v="127"/>
            <x v="129"/>
            <x v="132"/>
            <x v="135"/>
            <x v="139"/>
            <x v="141"/>
            <x v="143"/>
            <x v="145"/>
            <x v="146"/>
            <x v="148"/>
            <x v="151"/>
            <x v="152"/>
            <x v="163"/>
            <x v="170"/>
            <x v="175"/>
            <x v="176"/>
            <x v="177"/>
            <x v="191"/>
            <x v="192"/>
            <x v="193"/>
            <x v="197"/>
            <x v="200"/>
            <x v="201"/>
            <x v="203"/>
            <x v="209"/>
          </reference>
        </references>
      </pivotArea>
    </format>
    <format dxfId="100">
      <pivotArea collapsedLevelsAreSubtotals="1" fieldPosition="0">
        <references count="2">
          <reference field="3" count="1" selected="0">
            <x v="0"/>
          </reference>
          <reference field="4" count="1">
            <x v="1"/>
          </reference>
        </references>
      </pivotArea>
    </format>
    <format dxfId="99">
      <pivotArea collapsedLevelsAreSubtotals="1" fieldPosition="0">
        <references count="3">
          <reference field="3" count="1" selected="0">
            <x v="0"/>
          </reference>
          <reference field="4" count="1" selected="0">
            <x v="1"/>
          </reference>
          <reference field="6" count="110">
            <x v="1"/>
            <x v="3"/>
            <x v="5"/>
            <x v="6"/>
            <x v="11"/>
            <x v="12"/>
            <x v="14"/>
            <x v="16"/>
            <x v="20"/>
            <x v="24"/>
            <x v="25"/>
            <x v="27"/>
            <x v="28"/>
            <x v="29"/>
            <x v="30"/>
            <x v="33"/>
            <x v="35"/>
            <x v="36"/>
            <x v="39"/>
            <x v="40"/>
            <x v="41"/>
            <x v="42"/>
            <x v="44"/>
            <x v="46"/>
            <x v="47"/>
            <x v="48"/>
            <x v="49"/>
            <x v="50"/>
            <x v="52"/>
            <x v="53"/>
            <x v="54"/>
            <x v="55"/>
            <x v="57"/>
            <x v="58"/>
            <x v="59"/>
            <x v="60"/>
            <x v="61"/>
            <x v="62"/>
            <x v="63"/>
            <x v="66"/>
            <x v="70"/>
            <x v="72"/>
            <x v="74"/>
            <x v="78"/>
            <x v="80"/>
            <x v="82"/>
            <x v="86"/>
            <x v="88"/>
            <x v="90"/>
            <x v="108"/>
            <x v="110"/>
            <x v="116"/>
            <x v="117"/>
            <x v="118"/>
            <x v="120"/>
            <x v="123"/>
            <x v="124"/>
            <x v="125"/>
            <x v="128"/>
            <x v="129"/>
            <x v="130"/>
            <x v="132"/>
            <x v="133"/>
            <x v="135"/>
            <x v="136"/>
            <x v="138"/>
            <x v="140"/>
            <x v="141"/>
            <x v="142"/>
            <x v="143"/>
            <x v="145"/>
            <x v="146"/>
            <x v="149"/>
            <x v="150"/>
            <x v="154"/>
            <x v="155"/>
            <x v="157"/>
            <x v="158"/>
            <x v="159"/>
            <x v="160"/>
            <x v="161"/>
            <x v="165"/>
            <x v="166"/>
            <x v="168"/>
            <x v="169"/>
            <x v="170"/>
            <x v="171"/>
            <x v="172"/>
            <x v="174"/>
            <x v="175"/>
            <x v="176"/>
            <x v="177"/>
            <x v="178"/>
            <x v="179"/>
            <x v="180"/>
            <x v="181"/>
            <x v="184"/>
            <x v="185"/>
            <x v="187"/>
            <x v="188"/>
            <x v="189"/>
            <x v="190"/>
            <x v="191"/>
            <x v="195"/>
            <x v="196"/>
            <x v="203"/>
            <x v="205"/>
            <x v="209"/>
            <x v="212"/>
            <x v="213"/>
          </reference>
        </references>
      </pivotArea>
    </format>
    <format dxfId="98">
      <pivotArea collapsedLevelsAreSubtotals="1" fieldPosition="0">
        <references count="1">
          <reference field="3" count="1">
            <x v="2"/>
          </reference>
        </references>
      </pivotArea>
    </format>
    <format dxfId="97">
      <pivotArea collapsedLevelsAreSubtotals="1" fieldPosition="0">
        <references count="2">
          <reference field="3" count="1" selected="0">
            <x v="2"/>
          </reference>
          <reference field="4" count="1">
            <x v="2"/>
          </reference>
        </references>
      </pivotArea>
    </format>
    <format dxfId="96">
      <pivotArea collapsedLevelsAreSubtotals="1" fieldPosition="0">
        <references count="3">
          <reference field="3" count="1" selected="0">
            <x v="2"/>
          </reference>
          <reference field="4" count="1" selected="0">
            <x v="2"/>
          </reference>
          <reference field="6" count="3">
            <x v="96"/>
            <x v="99"/>
            <x v="102"/>
          </reference>
        </references>
      </pivotArea>
    </format>
    <format dxfId="95">
      <pivotArea collapsedLevelsAreSubtotals="1" fieldPosition="0">
        <references count="1">
          <reference field="3" count="1">
            <x v="3"/>
          </reference>
        </references>
      </pivotArea>
    </format>
    <format dxfId="94">
      <pivotArea collapsedLevelsAreSubtotals="1" fieldPosition="0">
        <references count="2">
          <reference field="3" count="1" selected="0">
            <x v="3"/>
          </reference>
          <reference field="4" count="1">
            <x v="0"/>
          </reference>
        </references>
      </pivotArea>
    </format>
    <format dxfId="93">
      <pivotArea collapsedLevelsAreSubtotals="1" fieldPosition="0">
        <references count="3">
          <reference field="3" count="1" selected="0">
            <x v="3"/>
          </reference>
          <reference field="4" count="1" selected="0">
            <x v="0"/>
          </reference>
          <reference field="6" count="4">
            <x v="97"/>
            <x v="98"/>
            <x v="100"/>
            <x v="101"/>
          </reference>
        </references>
      </pivotArea>
    </format>
    <format dxfId="92">
      <pivotArea collapsedLevelsAreSubtotals="1" fieldPosition="0">
        <references count="2">
          <reference field="3" count="1" selected="0">
            <x v="3"/>
          </reference>
          <reference field="4" count="1">
            <x v="1"/>
          </reference>
        </references>
      </pivotArea>
    </format>
    <format dxfId="91">
      <pivotArea collapsedLevelsAreSubtotals="1" fieldPosition="0">
        <references count="3">
          <reference field="3" count="1" selected="0">
            <x v="3"/>
          </reference>
          <reference field="4" count="1" selected="0">
            <x v="1"/>
          </reference>
          <reference field="6" count="4">
            <x v="97"/>
            <x v="98"/>
            <x v="100"/>
            <x v="101"/>
          </reference>
        </references>
      </pivotArea>
    </format>
    <format dxfId="90">
      <pivotArea grandRow="1" outline="0" collapsedLevelsAreSubtotals="1" fieldPosition="0"/>
    </format>
  </formats>
  <conditionalFormats count="5">
    <conditionalFormat priority="1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3" count="1" selected="0">
              <x v="2"/>
            </reference>
            <reference field="4" count="1" selected="0">
              <x v="2"/>
            </reference>
            <reference field="6" count="3">
              <x v="96"/>
              <x v="99"/>
              <x v="102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3" count="1" selected="0">
              <x v="3"/>
            </reference>
            <reference field="4" count="1" selected="0">
              <x v="0"/>
            </reference>
            <reference field="6" count="4">
              <x v="97"/>
              <x v="98"/>
              <x v="100"/>
              <x v="101"/>
            </reference>
          </references>
        </pivotArea>
      </pivotAreas>
    </conditionalFormat>
    <conditionalFormat priority="3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3" count="1" selected="0">
              <x v="3"/>
            </reference>
            <reference field="4" count="1" selected="0">
              <x v="1"/>
            </reference>
            <reference field="6" count="4">
              <x v="97"/>
              <x v="98"/>
              <x v="100"/>
              <x v="101"/>
            </reference>
          </references>
        </pivotArea>
      </pivotAreas>
    </conditionalFormat>
    <conditionalFormat priority="4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3" count="1" selected="0">
              <x v="0"/>
            </reference>
            <reference field="4" count="1" selected="0">
              <x v="1"/>
            </reference>
            <reference field="6" count="110">
              <x v="1"/>
              <x v="3"/>
              <x v="5"/>
              <x v="6"/>
              <x v="11"/>
              <x v="12"/>
              <x v="14"/>
              <x v="16"/>
              <x v="20"/>
              <x v="24"/>
              <x v="25"/>
              <x v="27"/>
              <x v="28"/>
              <x v="29"/>
              <x v="30"/>
              <x v="33"/>
              <x v="35"/>
              <x v="36"/>
              <x v="39"/>
              <x v="40"/>
              <x v="41"/>
              <x v="42"/>
              <x v="44"/>
              <x v="46"/>
              <x v="47"/>
              <x v="48"/>
              <x v="49"/>
              <x v="50"/>
              <x v="52"/>
              <x v="53"/>
              <x v="54"/>
              <x v="55"/>
              <x v="57"/>
              <x v="58"/>
              <x v="59"/>
              <x v="60"/>
              <x v="61"/>
              <x v="62"/>
              <x v="63"/>
              <x v="66"/>
              <x v="70"/>
              <x v="72"/>
              <x v="74"/>
              <x v="78"/>
              <x v="80"/>
              <x v="82"/>
              <x v="86"/>
              <x v="88"/>
              <x v="90"/>
              <x v="108"/>
              <x v="110"/>
              <x v="116"/>
              <x v="117"/>
              <x v="118"/>
              <x v="120"/>
              <x v="123"/>
              <x v="124"/>
              <x v="125"/>
              <x v="128"/>
              <x v="129"/>
              <x v="130"/>
              <x v="132"/>
              <x v="133"/>
              <x v="135"/>
              <x v="136"/>
              <x v="138"/>
              <x v="140"/>
              <x v="141"/>
              <x v="142"/>
              <x v="143"/>
              <x v="145"/>
              <x v="146"/>
              <x v="149"/>
              <x v="150"/>
              <x v="154"/>
              <x v="155"/>
              <x v="157"/>
              <x v="158"/>
              <x v="159"/>
              <x v="160"/>
              <x v="161"/>
              <x v="165"/>
              <x v="166"/>
              <x v="168"/>
              <x v="169"/>
              <x v="170"/>
              <x v="171"/>
              <x v="172"/>
              <x v="174"/>
              <x v="175"/>
              <x v="176"/>
              <x v="177"/>
              <x v="178"/>
              <x v="179"/>
              <x v="180"/>
              <x v="181"/>
              <x v="184"/>
              <x v="185"/>
              <x v="187"/>
              <x v="188"/>
              <x v="189"/>
              <x v="190"/>
              <x v="191"/>
              <x v="195"/>
              <x v="196"/>
              <x v="203"/>
              <x v="205"/>
              <x v="209"/>
              <x v="212"/>
              <x v="213"/>
            </reference>
          </references>
        </pivotArea>
      </pivotAreas>
    </conditionalFormat>
    <conditionalFormat priority="5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3" count="1" selected="0">
              <x v="0"/>
            </reference>
            <reference field="4" count="1" selected="0">
              <x v="0"/>
            </reference>
            <reference field="6" count="54">
              <x v="3"/>
              <x v="6"/>
              <x v="8"/>
              <x v="10"/>
              <x v="12"/>
              <x v="13"/>
              <x v="16"/>
              <x v="21"/>
              <x v="24"/>
              <x v="28"/>
              <x v="35"/>
              <x v="40"/>
              <x v="42"/>
              <x v="44"/>
              <x v="49"/>
              <x v="55"/>
              <x v="58"/>
              <x v="62"/>
              <x v="66"/>
              <x v="67"/>
              <x v="76"/>
              <x v="78"/>
              <x v="80"/>
              <x v="82"/>
              <x v="85"/>
              <x v="86"/>
              <x v="91"/>
              <x v="111"/>
              <x v="124"/>
              <x v="127"/>
              <x v="129"/>
              <x v="132"/>
              <x v="135"/>
              <x v="139"/>
              <x v="141"/>
              <x v="143"/>
              <x v="145"/>
              <x v="146"/>
              <x v="148"/>
              <x v="151"/>
              <x v="152"/>
              <x v="163"/>
              <x v="170"/>
              <x v="175"/>
              <x v="176"/>
              <x v="177"/>
              <x v="191"/>
              <x v="192"/>
              <x v="193"/>
              <x v="197"/>
              <x v="200"/>
              <x v="201"/>
              <x v="203"/>
              <x v="209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2" name="Tabela2" displayName="Tabela2" ref="A1:AF4" totalsRowShown="0">
  <autoFilter ref="A1:AF4"/>
  <tableColumns count="32">
    <tableColumn id="1" name="Empreendimento"/>
    <tableColumn id="2" name="Torre"/>
    <tableColumn id="3" name="Unidade"/>
    <tableColumn id="4" name="Tipo de Venda"/>
    <tableColumn id="5" name="Estilo Venda"/>
    <tableColumn id="6" name="Data da Venda" dataDxfId="163"/>
    <tableColumn id="7" name="Nome"/>
    <tableColumn id="8" name="Comissão Corretor"/>
    <tableColumn id="9" name="Premio Corretor"/>
    <tableColumn id="10" name="Gerente"/>
    <tableColumn id="11" name="Comissão Gerente"/>
    <tableColumn id="12" name="Premio Gerente"/>
    <tableColumn id="13" name="Diretor Comissão"/>
    <tableColumn id="14" name="Diretor Premio"/>
    <tableColumn id="15" name="Coord. Access"/>
    <tableColumn id="16" name="Coord. Access Comissão"/>
    <tableColumn id="17" name="Coord. Online"/>
    <tableColumn id="18" name="Comissão Coord. Online"/>
    <tableColumn id="19" name="Comissão Access"/>
    <tableColumn id="20" name="Data" dataDxfId="162"/>
    <tableColumn id="21" name="Codigo Sap"/>
    <tableColumn id="22" name="Sati"/>
    <tableColumn id="23" name="Codgo Sap"/>
    <tableColumn id="24" name="VGV"/>
    <tableColumn id="25" name="PV"/>
    <tableColumn id="26" name="Distrato"/>
    <tableColumn id="27" name="Data Distrato"/>
    <tableColumn id="28" name="Vendas"/>
    <tableColumn id="29" name="mês"/>
    <tableColumn id="30" name="Ano"/>
    <tableColumn id="31" name="Colunas1"/>
    <tableColumn id="32" name="Observações da Vend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ela1" displayName="Tabela1" ref="A1:L1142" totalsRowShown="0" headerRowDxfId="89" dataDxfId="88" tableBorderDxfId="87" dataCellStyle="Vírgula 2">
  <autoFilter ref="A1:L1142">
    <filterColumn colId="3">
      <filters>
        <filter val="DIRETA"/>
        <filter val="TERCEIROS"/>
      </filters>
    </filterColumn>
    <filterColumn colId="5">
      <filters>
        <dateGroupItem year="2014" dateTimeGrouping="year"/>
      </filters>
    </filterColumn>
  </autoFilter>
  <sortState ref="A1098:AF1164">
    <sortCondition ref="F1098"/>
  </sortState>
  <tableColumns count="12">
    <tableColumn id="1" name="Empreendimento" dataDxfId="86"/>
    <tableColumn id="2" name="Torre" dataDxfId="85"/>
    <tableColumn id="3" name="Unidade" dataDxfId="84"/>
    <tableColumn id="13" name="Tipo de Venda" dataDxfId="83"/>
    <tableColumn id="14" name="Estilo Venda" dataDxfId="82"/>
    <tableColumn id="4" name="Data da Venda" dataDxfId="81"/>
    <tableColumn id="5" name="Nome" dataDxfId="80"/>
    <tableColumn id="17" name="Gerente" dataDxfId="79" dataCellStyle="Vírgula 2"/>
    <tableColumn id="9" name="VGV" dataDxfId="78" dataCellStyle="Vírgula 2"/>
    <tableColumn id="10" name="Vendas" dataDxfId="77" dataCellStyle="Vírgula 2"/>
    <tableColumn id="11" name="mês" dataDxfId="76" dataCellStyle="Vírgula 2">
      <calculatedColumnFormula>MONTH(Tabela1[[#This Row],[Data da Venda]])</calculatedColumnFormula>
    </tableColumn>
    <tableColumn id="12" name="Ano" dataDxfId="75" dataCellStyle="Vírgula 2">
      <calculatedColumnFormula>YEAR(Tabela1[[#This Row],[Data da Venda]])</calculatedColumnFormula>
    </tableColumn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5.bin"/><Relationship Id="rId4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7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5" Type="http://schemas.openxmlformats.org/officeDocument/2006/relationships/printerSettings" Target="../printerSettings/printerSettings6.bin"/><Relationship Id="rId4" Type="http://schemas.openxmlformats.org/officeDocument/2006/relationships/pivotTable" Target="../pivotTables/pivotTable8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12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B2:M139"/>
  <sheetViews>
    <sheetView workbookViewId="0">
      <selection activeCell="G5" sqref="G5:J5"/>
    </sheetView>
  </sheetViews>
  <sheetFormatPr defaultRowHeight="14.4"/>
  <cols>
    <col min="1" max="1" width="2.44140625" customWidth="1"/>
    <col min="3" max="3" width="11" customWidth="1"/>
    <col min="4" max="4" width="11.5546875" bestFit="1" customWidth="1"/>
    <col min="5" max="5" width="15.33203125" bestFit="1" customWidth="1"/>
    <col min="6" max="6" width="3.6640625" customWidth="1"/>
    <col min="8" max="8" width="19.33203125" bestFit="1" customWidth="1"/>
    <col min="9" max="9" width="12.6640625" bestFit="1" customWidth="1"/>
    <col min="10" max="10" width="14.109375" customWidth="1"/>
    <col min="12" max="12" width="12.6640625" bestFit="1" customWidth="1"/>
  </cols>
  <sheetData>
    <row r="2" spans="2:13" hidden="1"/>
    <row r="3" spans="2:13" hidden="1"/>
    <row r="4" spans="2:13">
      <c r="B4" s="272" t="s">
        <v>7</v>
      </c>
      <c r="C4" s="273"/>
      <c r="D4" s="273"/>
      <c r="E4" s="274"/>
      <c r="F4" s="7"/>
      <c r="G4" s="272" t="s">
        <v>7</v>
      </c>
      <c r="H4" s="273"/>
      <c r="I4" s="273"/>
      <c r="J4" s="274"/>
      <c r="K4" s="7"/>
    </row>
    <row r="5" spans="2:13">
      <c r="B5" s="24" t="s">
        <v>8</v>
      </c>
      <c r="C5" s="24" t="s">
        <v>2</v>
      </c>
      <c r="D5" s="24" t="s">
        <v>9</v>
      </c>
      <c r="E5" s="24" t="s">
        <v>3</v>
      </c>
      <c r="F5" s="7"/>
      <c r="G5" s="24" t="s">
        <v>8</v>
      </c>
      <c r="H5" s="24" t="s">
        <v>2</v>
      </c>
      <c r="I5" s="24" t="s">
        <v>9</v>
      </c>
      <c r="J5" s="24" t="s">
        <v>3</v>
      </c>
      <c r="K5" s="7"/>
      <c r="L5" s="7" t="s">
        <v>15</v>
      </c>
    </row>
    <row r="6" spans="2:13">
      <c r="B6" s="29">
        <v>1</v>
      </c>
      <c r="C6" s="20" t="s">
        <v>25</v>
      </c>
      <c r="D6" s="72">
        <f>'Acumulado dos Gerentes'!S3</f>
        <v>75.5</v>
      </c>
      <c r="E6" s="107">
        <f>'Acumulado dos Gerentes'!T3</f>
        <v>33655170.480000004</v>
      </c>
      <c r="F6" s="7"/>
      <c r="G6" s="65">
        <v>114</v>
      </c>
      <c r="H6" s="66" t="s">
        <v>103</v>
      </c>
      <c r="I6" s="61">
        <v>1</v>
      </c>
      <c r="J6" s="21">
        <v>254200</v>
      </c>
      <c r="K6" s="7"/>
      <c r="L6" s="6"/>
    </row>
    <row r="7" spans="2:13">
      <c r="B7" s="65">
        <v>2</v>
      </c>
      <c r="C7" s="68" t="s">
        <v>26</v>
      </c>
      <c r="D7" s="72">
        <f>'Acumulado dos Gerentes'!S4</f>
        <v>59.5</v>
      </c>
      <c r="E7" s="87">
        <f>'Acumulado dos Gerentes'!T4</f>
        <v>33395358.640000004</v>
      </c>
      <c r="F7" s="7"/>
      <c r="G7" s="65">
        <v>22</v>
      </c>
      <c r="H7" s="66" t="s">
        <v>282</v>
      </c>
      <c r="I7" s="61">
        <v>5</v>
      </c>
      <c r="J7" s="21">
        <v>2278155.8199999998</v>
      </c>
      <c r="K7" s="7"/>
      <c r="L7" s="6"/>
    </row>
    <row r="8" spans="2:13">
      <c r="B8" s="13">
        <v>3</v>
      </c>
      <c r="C8" s="20" t="s">
        <v>24</v>
      </c>
      <c r="D8" s="72">
        <f>'Acumulado dos Gerentes'!S5</f>
        <v>63.25</v>
      </c>
      <c r="E8" s="87">
        <f>'Acumulado dos Gerentes'!T5</f>
        <v>30019724.600000005</v>
      </c>
      <c r="F8" s="7"/>
      <c r="G8" s="65">
        <v>127</v>
      </c>
      <c r="H8" s="66" t="s">
        <v>161</v>
      </c>
      <c r="I8" s="61">
        <v>0.5</v>
      </c>
      <c r="J8" s="21">
        <v>177799.85</v>
      </c>
      <c r="K8" s="7"/>
      <c r="L8" s="6"/>
    </row>
    <row r="9" spans="2:13">
      <c r="B9" s="65">
        <v>4</v>
      </c>
      <c r="C9" s="20" t="s">
        <v>27</v>
      </c>
      <c r="D9" s="71">
        <f>'Acumulado dos Gerentes'!S6</f>
        <v>51.5</v>
      </c>
      <c r="E9" s="87">
        <f>'Acumulado dos Gerentes'!T6</f>
        <v>23103387.890000001</v>
      </c>
      <c r="F9" s="7"/>
      <c r="G9" s="65">
        <v>75</v>
      </c>
      <c r="H9" s="20" t="s">
        <v>18</v>
      </c>
      <c r="I9" s="41">
        <v>4</v>
      </c>
      <c r="J9" s="21">
        <v>784500.02</v>
      </c>
      <c r="K9" s="7"/>
      <c r="L9" s="6"/>
    </row>
    <row r="10" spans="2:13">
      <c r="B10" s="13">
        <v>5</v>
      </c>
      <c r="C10" s="20" t="s">
        <v>23</v>
      </c>
      <c r="D10" s="72">
        <f>'Acumulado dos Gerentes'!S7</f>
        <v>53.75</v>
      </c>
      <c r="E10" s="87">
        <f>'Acumulado dos Gerentes'!T7</f>
        <v>22370803.420000002</v>
      </c>
      <c r="F10" s="7"/>
      <c r="G10" s="65">
        <v>112</v>
      </c>
      <c r="H10" s="66" t="s">
        <v>121</v>
      </c>
      <c r="I10" s="61">
        <v>1</v>
      </c>
      <c r="J10" s="21">
        <v>320425</v>
      </c>
      <c r="K10" s="7"/>
      <c r="L10" s="6"/>
    </row>
    <row r="11" spans="2:13">
      <c r="B11" s="13">
        <v>6</v>
      </c>
      <c r="C11" s="92" t="s">
        <v>61</v>
      </c>
      <c r="D11" s="73">
        <f>'Acumulado dos Gerentes'!S8</f>
        <v>36</v>
      </c>
      <c r="E11" s="88">
        <f>'Acumulado dos Gerentes'!T8</f>
        <v>16718501.76</v>
      </c>
      <c r="F11" s="7"/>
      <c r="G11" s="65">
        <v>78</v>
      </c>
      <c r="H11" s="66" t="s">
        <v>64</v>
      </c>
      <c r="I11" s="41">
        <v>1.5</v>
      </c>
      <c r="J11" s="21">
        <v>720844.34</v>
      </c>
      <c r="K11" s="7"/>
      <c r="L11" s="6"/>
    </row>
    <row r="12" spans="2:13">
      <c r="B12" s="13">
        <v>7</v>
      </c>
      <c r="C12" s="92" t="s">
        <v>79</v>
      </c>
      <c r="D12" s="73">
        <f>'Acumulado dos Gerentes'!S9</f>
        <v>26.5</v>
      </c>
      <c r="E12" s="88">
        <f>'Acumulado dos Gerentes'!T9</f>
        <v>13069017.049999999</v>
      </c>
      <c r="F12" s="7"/>
      <c r="G12" s="65">
        <v>56</v>
      </c>
      <c r="H12" s="66" t="s">
        <v>281</v>
      </c>
      <c r="I12" s="61">
        <v>2</v>
      </c>
      <c r="J12" s="21">
        <v>1141565.43</v>
      </c>
      <c r="K12" s="7"/>
      <c r="L12" s="6"/>
    </row>
    <row r="13" spans="2:13">
      <c r="B13" s="13">
        <v>8</v>
      </c>
      <c r="C13" s="92" t="s">
        <v>32</v>
      </c>
      <c r="D13" s="73">
        <f>'Acumulado dos Gerentes'!S10</f>
        <v>13.5</v>
      </c>
      <c r="E13" s="88">
        <f>'Acumulado dos Gerentes'!T10</f>
        <v>5490159.5499999998</v>
      </c>
      <c r="F13" s="7"/>
      <c r="G13" s="65">
        <v>104</v>
      </c>
      <c r="H13" s="66" t="s">
        <v>170</v>
      </c>
      <c r="I13" s="61">
        <v>1</v>
      </c>
      <c r="J13" s="21">
        <v>381596.17</v>
      </c>
      <c r="K13" s="7"/>
      <c r="L13" s="6"/>
    </row>
    <row r="14" spans="2:13">
      <c r="B14" s="13"/>
      <c r="C14" s="11"/>
      <c r="D14" s="28"/>
      <c r="E14" s="89"/>
      <c r="F14" s="7"/>
      <c r="G14" s="65">
        <v>15</v>
      </c>
      <c r="H14" s="66" t="s">
        <v>142</v>
      </c>
      <c r="I14" s="61">
        <v>3</v>
      </c>
      <c r="J14" s="21">
        <v>2885000</v>
      </c>
      <c r="K14" s="7"/>
      <c r="L14" s="6"/>
      <c r="M14" s="7"/>
    </row>
    <row r="15" spans="2:13">
      <c r="B15" s="275" t="s">
        <v>12</v>
      </c>
      <c r="C15" s="275"/>
      <c r="D15" s="80">
        <f>SUM(D6:D13)</f>
        <v>379.5</v>
      </c>
      <c r="E15" s="30">
        <f>SUM(E6:E13)</f>
        <v>177822123.39000005</v>
      </c>
      <c r="G15" s="65">
        <v>91</v>
      </c>
      <c r="H15" s="66" t="s">
        <v>152</v>
      </c>
      <c r="I15" s="61">
        <v>1.5</v>
      </c>
      <c r="J15" s="21">
        <v>575140</v>
      </c>
      <c r="L15" s="6"/>
    </row>
    <row r="16" spans="2:13" s="7" customFormat="1" ht="15" customHeight="1">
      <c r="B16" s="22"/>
      <c r="C16" s="23"/>
      <c r="D16" s="108"/>
      <c r="E16" s="122"/>
      <c r="G16" s="65">
        <v>101</v>
      </c>
      <c r="H16" s="66" t="s">
        <v>45</v>
      </c>
      <c r="I16" s="41">
        <v>2</v>
      </c>
      <c r="J16" s="60">
        <v>425108.55</v>
      </c>
      <c r="L16" s="6"/>
    </row>
    <row r="17" spans="2:11">
      <c r="B17" s="7"/>
      <c r="C17" s="7"/>
      <c r="D17" s="50"/>
      <c r="E17" s="14"/>
      <c r="G17" s="65">
        <v>79</v>
      </c>
      <c r="H17" s="20" t="s">
        <v>179</v>
      </c>
      <c r="I17" s="67">
        <v>2</v>
      </c>
      <c r="J17" s="21">
        <v>711400</v>
      </c>
    </row>
    <row r="18" spans="2:11">
      <c r="B18" s="272" t="s">
        <v>107</v>
      </c>
      <c r="C18" s="273"/>
      <c r="D18" s="273"/>
      <c r="E18" s="274"/>
      <c r="G18" s="65">
        <v>29</v>
      </c>
      <c r="H18" s="66" t="s">
        <v>93</v>
      </c>
      <c r="I18" s="41">
        <v>5.5</v>
      </c>
      <c r="J18" s="21">
        <v>2024391.88</v>
      </c>
    </row>
    <row r="19" spans="2:11">
      <c r="B19" s="24" t="s">
        <v>8</v>
      </c>
      <c r="C19" s="24" t="s">
        <v>2</v>
      </c>
      <c r="D19" s="24" t="s">
        <v>9</v>
      </c>
      <c r="E19" s="24" t="s">
        <v>3</v>
      </c>
      <c r="G19" s="65">
        <v>58</v>
      </c>
      <c r="H19" s="20" t="s">
        <v>17</v>
      </c>
      <c r="I19" s="67">
        <v>5.5</v>
      </c>
      <c r="J19" s="21">
        <v>1114585.01</v>
      </c>
    </row>
    <row r="20" spans="2:11">
      <c r="B20" s="276" t="s">
        <v>33</v>
      </c>
      <c r="C20" s="277"/>
      <c r="D20" s="75">
        <v>69.5</v>
      </c>
      <c r="E20" s="84">
        <v>34109597.829999998</v>
      </c>
      <c r="G20" s="65">
        <v>54</v>
      </c>
      <c r="H20" s="66" t="s">
        <v>295</v>
      </c>
      <c r="I20" s="61">
        <v>3</v>
      </c>
      <c r="J20" s="21">
        <v>1262713.93</v>
      </c>
    </row>
    <row r="21" spans="2:11">
      <c r="B21" s="25">
        <v>1</v>
      </c>
      <c r="C21" s="11" t="s">
        <v>91</v>
      </c>
      <c r="D21" s="89">
        <f>'Coord. Mac e Cia'!L5</f>
        <v>34.5</v>
      </c>
      <c r="E21" s="83">
        <f>'Coord. Mac e Cia'!M5</f>
        <v>19432872.819999997</v>
      </c>
      <c r="G21" s="65">
        <v>66</v>
      </c>
      <c r="H21" s="66" t="s">
        <v>87</v>
      </c>
      <c r="I21" s="61">
        <v>2</v>
      </c>
      <c r="J21" s="21">
        <v>947455</v>
      </c>
    </row>
    <row r="22" spans="2:11">
      <c r="B22" s="25">
        <v>2</v>
      </c>
      <c r="C22" s="74" t="s">
        <v>74</v>
      </c>
      <c r="D22" s="89">
        <f>'Coord. Mac e Cia'!L3</f>
        <v>24</v>
      </c>
      <c r="E22" s="83">
        <f>'Coord. Mac e Cia'!M3</f>
        <v>11033910.34</v>
      </c>
      <c r="G22" s="65">
        <v>7</v>
      </c>
      <c r="H22" s="66" t="s">
        <v>83</v>
      </c>
      <c r="I22" s="61">
        <v>8</v>
      </c>
      <c r="J22" s="21">
        <v>4043638.34</v>
      </c>
    </row>
    <row r="23" spans="2:11" s="7" customFormat="1">
      <c r="B23" s="25">
        <v>3</v>
      </c>
      <c r="C23" s="74" t="s">
        <v>102</v>
      </c>
      <c r="D23" s="89">
        <f>'Coord. Mac e Cia'!L4</f>
        <v>11</v>
      </c>
      <c r="E23" s="83">
        <f>'Coord. Mac e Cia'!M4</f>
        <v>3642814.6700000004</v>
      </c>
      <c r="G23" s="65">
        <v>13</v>
      </c>
      <c r="H23" s="66" t="s">
        <v>94</v>
      </c>
      <c r="I23" s="41">
        <v>7.5</v>
      </c>
      <c r="J23" s="60">
        <v>3129555.79</v>
      </c>
    </row>
    <row r="24" spans="2:11">
      <c r="B24" s="275" t="s">
        <v>108</v>
      </c>
      <c r="C24" s="275"/>
      <c r="D24" s="75">
        <f>SUM(D21:D23)</f>
        <v>69.5</v>
      </c>
      <c r="E24" s="84">
        <f>SUM(E21:E23)</f>
        <v>34109597.829999998</v>
      </c>
      <c r="G24" s="65">
        <v>125</v>
      </c>
      <c r="H24" s="66" t="s">
        <v>176</v>
      </c>
      <c r="I24" s="61">
        <v>0.5</v>
      </c>
      <c r="J24" s="21">
        <v>186526.58</v>
      </c>
    </row>
    <row r="25" spans="2:11">
      <c r="G25" s="65">
        <v>73</v>
      </c>
      <c r="H25" s="66" t="s">
        <v>283</v>
      </c>
      <c r="I25" s="61">
        <v>2</v>
      </c>
      <c r="J25" s="21">
        <v>828669.23</v>
      </c>
    </row>
    <row r="26" spans="2:11">
      <c r="B26" s="272" t="s">
        <v>109</v>
      </c>
      <c r="C26" s="273"/>
      <c r="D26" s="273"/>
      <c r="E26" s="274"/>
      <c r="G26" s="65">
        <v>68</v>
      </c>
      <c r="H26" s="66" t="s">
        <v>41</v>
      </c>
      <c r="I26" s="41">
        <v>2.5</v>
      </c>
      <c r="J26" s="60">
        <v>905004.88</v>
      </c>
    </row>
    <row r="27" spans="2:11">
      <c r="B27" s="24" t="s">
        <v>8</v>
      </c>
      <c r="C27" s="24" t="s">
        <v>2</v>
      </c>
      <c r="D27" s="24" t="s">
        <v>9</v>
      </c>
      <c r="E27" s="24" t="s">
        <v>3</v>
      </c>
      <c r="G27" s="65">
        <v>117</v>
      </c>
      <c r="H27" s="66" t="s">
        <v>285</v>
      </c>
      <c r="I27" s="61">
        <v>0.5</v>
      </c>
      <c r="J27" s="21">
        <v>225312.27</v>
      </c>
    </row>
    <row r="28" spans="2:11">
      <c r="B28" s="85">
        <v>1</v>
      </c>
      <c r="C28" s="11" t="s">
        <v>35</v>
      </c>
      <c r="D28" s="73">
        <v>11</v>
      </c>
      <c r="E28" s="60">
        <v>7340325.6799999997</v>
      </c>
      <c r="G28" s="65">
        <v>74</v>
      </c>
      <c r="H28" s="66" t="s">
        <v>71</v>
      </c>
      <c r="I28" s="61">
        <v>2</v>
      </c>
      <c r="J28" s="21">
        <v>814036.31</v>
      </c>
    </row>
    <row r="29" spans="2:11" s="7" customFormat="1">
      <c r="B29" s="25">
        <v>2</v>
      </c>
      <c r="C29" s="11" t="s">
        <v>86</v>
      </c>
      <c r="D29" s="76">
        <v>2</v>
      </c>
      <c r="E29" s="60">
        <v>1202855.67</v>
      </c>
      <c r="G29" s="65">
        <v>106</v>
      </c>
      <c r="H29" s="66" t="s">
        <v>287</v>
      </c>
      <c r="I29" s="61">
        <v>1</v>
      </c>
      <c r="J29" s="21">
        <v>380283.15</v>
      </c>
    </row>
    <row r="30" spans="2:11" s="7" customFormat="1">
      <c r="B30" s="275" t="s">
        <v>108</v>
      </c>
      <c r="C30" s="275"/>
      <c r="D30" s="75">
        <f>SUM(D28:D29)</f>
        <v>13</v>
      </c>
      <c r="E30" s="30">
        <f>SUM(E28:E29)</f>
        <v>8543181.3499999996</v>
      </c>
      <c r="G30" s="65">
        <v>9</v>
      </c>
      <c r="H30" s="66" t="s">
        <v>49</v>
      </c>
      <c r="I30" s="41">
        <v>8.5</v>
      </c>
      <c r="J30" s="60">
        <v>3506321.61</v>
      </c>
    </row>
    <row r="31" spans="2:11">
      <c r="G31" s="65">
        <v>8</v>
      </c>
      <c r="H31" s="66" t="s">
        <v>70</v>
      </c>
      <c r="I31" s="61">
        <v>5</v>
      </c>
      <c r="J31" s="21">
        <v>3874092.52</v>
      </c>
      <c r="K31" s="7"/>
    </row>
    <row r="32" spans="2:11">
      <c r="G32" s="65">
        <v>97</v>
      </c>
      <c r="H32" s="66" t="s">
        <v>37</v>
      </c>
      <c r="I32" s="41">
        <v>2</v>
      </c>
      <c r="J32" s="60">
        <v>500320</v>
      </c>
      <c r="K32" s="7"/>
    </row>
    <row r="33" spans="2:10">
      <c r="B33" s="272" t="s">
        <v>110</v>
      </c>
      <c r="C33" s="273"/>
      <c r="D33" s="273"/>
      <c r="E33" s="274"/>
      <c r="G33" s="65">
        <v>51</v>
      </c>
      <c r="H33" s="66" t="s">
        <v>274</v>
      </c>
      <c r="I33" s="61">
        <v>3</v>
      </c>
      <c r="J33" s="21">
        <v>1295782.5</v>
      </c>
    </row>
    <row r="34" spans="2:10">
      <c r="B34" s="272" t="s">
        <v>9</v>
      </c>
      <c r="C34" s="274"/>
      <c r="D34" s="272" t="s">
        <v>3</v>
      </c>
      <c r="E34" s="274"/>
      <c r="G34" s="65">
        <v>93</v>
      </c>
      <c r="H34" s="66" t="s">
        <v>268</v>
      </c>
      <c r="I34" s="61">
        <v>0.25</v>
      </c>
      <c r="J34" s="21">
        <v>568250</v>
      </c>
    </row>
    <row r="35" spans="2:10">
      <c r="B35" s="279">
        <f>D30+D24+D15</f>
        <v>462</v>
      </c>
      <c r="C35" s="279"/>
      <c r="D35" s="280">
        <f>E30+E24+E15</f>
        <v>220474902.57000005</v>
      </c>
      <c r="E35" s="281"/>
      <c r="G35" s="65">
        <v>37</v>
      </c>
      <c r="H35" s="66" t="s">
        <v>65</v>
      </c>
      <c r="I35" s="41">
        <v>4.5</v>
      </c>
      <c r="J35" s="60">
        <v>1672552.99</v>
      </c>
    </row>
    <row r="36" spans="2:10">
      <c r="B36" s="279"/>
      <c r="C36" s="279"/>
      <c r="D36" s="281"/>
      <c r="E36" s="281"/>
      <c r="G36" s="65">
        <v>81</v>
      </c>
      <c r="H36" s="66" t="s">
        <v>162</v>
      </c>
      <c r="I36" s="61">
        <v>2</v>
      </c>
      <c r="J36" s="21">
        <v>676853.75</v>
      </c>
    </row>
    <row r="37" spans="2:10">
      <c r="B37" s="279"/>
      <c r="C37" s="279"/>
      <c r="D37" s="281"/>
      <c r="E37" s="281"/>
      <c r="G37" s="65">
        <v>72</v>
      </c>
      <c r="H37" s="66" t="s">
        <v>255</v>
      </c>
      <c r="I37" s="61">
        <v>2</v>
      </c>
      <c r="J37" s="21">
        <v>837740.89</v>
      </c>
    </row>
    <row r="38" spans="2:10">
      <c r="B38" s="276" t="s">
        <v>108</v>
      </c>
      <c r="C38" s="278"/>
      <c r="D38" s="278"/>
      <c r="E38" s="277"/>
      <c r="G38" s="65">
        <v>119</v>
      </c>
      <c r="H38" s="66" t="s">
        <v>224</v>
      </c>
      <c r="I38" s="61">
        <v>0.5</v>
      </c>
      <c r="J38" s="21">
        <v>224600</v>
      </c>
    </row>
    <row r="39" spans="2:10">
      <c r="G39" s="65">
        <v>60</v>
      </c>
      <c r="H39" s="66" t="s">
        <v>67</v>
      </c>
      <c r="I39" s="41">
        <v>2.5</v>
      </c>
      <c r="J39" s="21">
        <v>1050725.0900000001</v>
      </c>
    </row>
    <row r="40" spans="2:10">
      <c r="B40" s="64"/>
      <c r="C40" s="143"/>
      <c r="D40" s="7"/>
      <c r="E40" s="6"/>
      <c r="G40" s="65">
        <v>113</v>
      </c>
      <c r="H40" s="66" t="s">
        <v>129</v>
      </c>
      <c r="I40" s="61">
        <v>1</v>
      </c>
      <c r="J40" s="21">
        <v>264800</v>
      </c>
    </row>
    <row r="41" spans="2:10" s="7" customFormat="1">
      <c r="G41" s="65">
        <v>48</v>
      </c>
      <c r="H41" s="66" t="s">
        <v>47</v>
      </c>
      <c r="I41" s="41">
        <v>2</v>
      </c>
      <c r="J41" s="60">
        <v>1345039.95</v>
      </c>
    </row>
    <row r="42" spans="2:10" s="7" customFormat="1">
      <c r="G42" s="65">
        <v>12</v>
      </c>
      <c r="H42" s="66" t="s">
        <v>62</v>
      </c>
      <c r="I42" s="41">
        <v>8</v>
      </c>
      <c r="J42" s="60">
        <v>3225749.67</v>
      </c>
    </row>
    <row r="43" spans="2:10" s="7" customFormat="1">
      <c r="G43" s="65">
        <v>108</v>
      </c>
      <c r="H43" s="66" t="s">
        <v>291</v>
      </c>
      <c r="I43" s="61">
        <v>1</v>
      </c>
      <c r="J43" s="21">
        <v>375702</v>
      </c>
    </row>
    <row r="44" spans="2:10" s="7" customFormat="1">
      <c r="G44" s="65">
        <v>33</v>
      </c>
      <c r="H44" s="66" t="s">
        <v>105</v>
      </c>
      <c r="I44" s="61">
        <v>3</v>
      </c>
      <c r="J44" s="21">
        <v>1796479.45</v>
      </c>
    </row>
    <row r="45" spans="2:10" s="7" customFormat="1">
      <c r="G45" s="65">
        <v>3</v>
      </c>
      <c r="H45" s="20" t="s">
        <v>98</v>
      </c>
      <c r="I45" s="67">
        <v>8.5</v>
      </c>
      <c r="J45" s="21">
        <v>5436703.1200000001</v>
      </c>
    </row>
    <row r="46" spans="2:10" s="7" customFormat="1">
      <c r="G46" s="65">
        <v>96</v>
      </c>
      <c r="H46" s="66" t="s">
        <v>276</v>
      </c>
      <c r="I46" s="61">
        <v>1</v>
      </c>
      <c r="J46" s="21">
        <v>530824.75</v>
      </c>
    </row>
    <row r="47" spans="2:10" s="7" customFormat="1">
      <c r="G47" s="65">
        <v>26</v>
      </c>
      <c r="H47" s="66" t="s">
        <v>80</v>
      </c>
      <c r="I47" s="61">
        <v>5.5</v>
      </c>
      <c r="J47" s="21">
        <v>2143132.5099999998</v>
      </c>
    </row>
    <row r="48" spans="2:10" s="7" customFormat="1">
      <c r="G48" s="65">
        <v>90</v>
      </c>
      <c r="H48" s="66" t="s">
        <v>39</v>
      </c>
      <c r="I48" s="41">
        <v>2</v>
      </c>
      <c r="J48" s="60">
        <v>586647.99</v>
      </c>
    </row>
    <row r="49" spans="7:10" s="7" customFormat="1">
      <c r="G49" s="65">
        <v>2</v>
      </c>
      <c r="H49" s="66" t="s">
        <v>40</v>
      </c>
      <c r="I49" s="41">
        <v>7</v>
      </c>
      <c r="J49" s="60">
        <v>5586000</v>
      </c>
    </row>
    <row r="50" spans="7:10" s="7" customFormat="1">
      <c r="G50" s="65">
        <v>105</v>
      </c>
      <c r="H50" s="66" t="s">
        <v>168</v>
      </c>
      <c r="I50" s="61">
        <v>1</v>
      </c>
      <c r="J50" s="21">
        <v>381596.17</v>
      </c>
    </row>
    <row r="51" spans="7:10" s="7" customFormat="1">
      <c r="G51" s="65">
        <v>128</v>
      </c>
      <c r="H51" s="66" t="s">
        <v>314</v>
      </c>
      <c r="I51" s="61">
        <v>0.5</v>
      </c>
      <c r="J51" s="21">
        <v>145000</v>
      </c>
    </row>
    <row r="52" spans="7:10" s="7" customFormat="1">
      <c r="G52" s="65">
        <v>64</v>
      </c>
      <c r="H52" s="66" t="s">
        <v>292</v>
      </c>
      <c r="I52" s="61">
        <v>3.5</v>
      </c>
      <c r="J52" s="21">
        <v>967703.24</v>
      </c>
    </row>
    <row r="53" spans="7:10" s="7" customFormat="1">
      <c r="G53" s="65">
        <v>16</v>
      </c>
      <c r="H53" s="66" t="s">
        <v>59</v>
      </c>
      <c r="I53" s="41">
        <v>4</v>
      </c>
      <c r="J53" s="60">
        <v>2827844.4</v>
      </c>
    </row>
    <row r="54" spans="7:10" s="7" customFormat="1">
      <c r="G54" s="65">
        <v>30</v>
      </c>
      <c r="H54" s="66" t="s">
        <v>75</v>
      </c>
      <c r="I54" s="61">
        <v>4</v>
      </c>
      <c r="J54" s="21">
        <v>1963031.77</v>
      </c>
    </row>
    <row r="55" spans="7:10" s="7" customFormat="1">
      <c r="G55" s="65">
        <v>47</v>
      </c>
      <c r="H55" s="68" t="s">
        <v>100</v>
      </c>
      <c r="I55" s="41">
        <v>3</v>
      </c>
      <c r="J55" s="21">
        <v>1400074.49</v>
      </c>
    </row>
    <row r="56" spans="7:10" s="7" customFormat="1">
      <c r="G56" s="65">
        <v>98</v>
      </c>
      <c r="H56" s="20" t="s">
        <v>21</v>
      </c>
      <c r="I56" s="41">
        <v>0.5</v>
      </c>
      <c r="J56" s="21">
        <v>453000.06</v>
      </c>
    </row>
    <row r="57" spans="7:10" s="7" customFormat="1">
      <c r="G57" s="65">
        <v>84</v>
      </c>
      <c r="H57" s="66" t="s">
        <v>36</v>
      </c>
      <c r="I57" s="41">
        <v>1</v>
      </c>
      <c r="J57" s="60">
        <v>641050</v>
      </c>
    </row>
    <row r="58" spans="7:10" s="7" customFormat="1">
      <c r="G58" s="65">
        <v>14</v>
      </c>
      <c r="H58" s="66" t="s">
        <v>76</v>
      </c>
      <c r="I58" s="61">
        <v>6.5</v>
      </c>
      <c r="J58" s="21">
        <v>2966189.34</v>
      </c>
    </row>
    <row r="59" spans="7:10" s="7" customFormat="1">
      <c r="G59" s="65">
        <v>88</v>
      </c>
      <c r="H59" s="66" t="s">
        <v>46</v>
      </c>
      <c r="I59" s="41">
        <v>1</v>
      </c>
      <c r="J59" s="60">
        <v>595091.1</v>
      </c>
    </row>
    <row r="60" spans="7:10" s="7" customFormat="1">
      <c r="G60" s="65">
        <v>89</v>
      </c>
      <c r="H60" s="66" t="s">
        <v>148</v>
      </c>
      <c r="I60" s="61">
        <v>1.5</v>
      </c>
      <c r="J60" s="21">
        <v>590087.56999999995</v>
      </c>
    </row>
    <row r="61" spans="7:10" s="7" customFormat="1">
      <c r="G61" s="65">
        <v>63</v>
      </c>
      <c r="H61" s="66" t="s">
        <v>153</v>
      </c>
      <c r="I61" s="61">
        <v>2.5</v>
      </c>
      <c r="J61" s="21">
        <v>1008415.32</v>
      </c>
    </row>
    <row r="62" spans="7:10" s="7" customFormat="1">
      <c r="G62" s="65">
        <v>87</v>
      </c>
      <c r="H62" s="66" t="s">
        <v>31</v>
      </c>
      <c r="I62" s="41">
        <v>3</v>
      </c>
      <c r="J62" s="60">
        <v>628960.82999999996</v>
      </c>
    </row>
    <row r="63" spans="7:10" s="7" customFormat="1">
      <c r="G63" s="65">
        <v>35</v>
      </c>
      <c r="H63" s="66" t="s">
        <v>77</v>
      </c>
      <c r="I63" s="61">
        <v>3.5</v>
      </c>
      <c r="J63" s="21">
        <v>1750593.77</v>
      </c>
    </row>
    <row r="64" spans="7:10" s="7" customFormat="1">
      <c r="G64" s="65">
        <v>121</v>
      </c>
      <c r="H64" s="20" t="s">
        <v>69</v>
      </c>
      <c r="I64" s="41">
        <v>0.5</v>
      </c>
      <c r="J64" s="21">
        <v>214848.07</v>
      </c>
    </row>
    <row r="65" spans="2:10" s="7" customFormat="1">
      <c r="G65" s="65">
        <v>100</v>
      </c>
      <c r="H65" s="66" t="s">
        <v>68</v>
      </c>
      <c r="I65" s="41">
        <v>1</v>
      </c>
      <c r="J65" s="21">
        <v>429696.14</v>
      </c>
    </row>
    <row r="66" spans="2:10" s="7" customFormat="1">
      <c r="G66" s="65">
        <v>25</v>
      </c>
      <c r="H66" s="66" t="s">
        <v>55</v>
      </c>
      <c r="I66" s="41">
        <v>4.5</v>
      </c>
      <c r="J66" s="60">
        <v>2181107.27</v>
      </c>
    </row>
    <row r="67" spans="2:10" s="7" customFormat="1">
      <c r="B67"/>
      <c r="C67"/>
      <c r="D67"/>
      <c r="E67"/>
      <c r="G67" s="65">
        <v>61</v>
      </c>
      <c r="H67" s="66" t="s">
        <v>266</v>
      </c>
      <c r="I67" s="61">
        <v>2</v>
      </c>
      <c r="J67" s="21">
        <f>517661+507180</f>
        <v>1024841</v>
      </c>
    </row>
    <row r="68" spans="2:10">
      <c r="G68" s="65">
        <v>86</v>
      </c>
      <c r="H68" s="66" t="s">
        <v>304</v>
      </c>
      <c r="I68" s="61">
        <v>1</v>
      </c>
      <c r="J68" s="21">
        <v>633914.91</v>
      </c>
    </row>
    <row r="69" spans="2:10">
      <c r="G69" s="65">
        <v>122</v>
      </c>
      <c r="H69" s="66" t="s">
        <v>180</v>
      </c>
      <c r="I69" s="61">
        <v>0.5</v>
      </c>
      <c r="J69" s="21">
        <v>204200</v>
      </c>
    </row>
    <row r="70" spans="2:10">
      <c r="G70" s="65">
        <v>42</v>
      </c>
      <c r="H70" s="66" t="s">
        <v>302</v>
      </c>
      <c r="I70" s="61">
        <v>4</v>
      </c>
      <c r="J70" s="21">
        <v>1480897.48</v>
      </c>
    </row>
    <row r="71" spans="2:10">
      <c r="G71" s="65">
        <v>99</v>
      </c>
      <c r="H71" s="66" t="s">
        <v>306</v>
      </c>
      <c r="I71" s="41">
        <v>1</v>
      </c>
      <c r="J71" s="60">
        <v>448707.54</v>
      </c>
    </row>
    <row r="72" spans="2:10">
      <c r="B72" s="7"/>
      <c r="C72" s="7"/>
      <c r="D72" s="7"/>
      <c r="E72" s="7"/>
      <c r="G72" s="65">
        <v>83</v>
      </c>
      <c r="H72" s="66" t="s">
        <v>297</v>
      </c>
      <c r="I72" s="61">
        <v>1</v>
      </c>
      <c r="J72" s="21">
        <v>646529.66</v>
      </c>
    </row>
    <row r="73" spans="2:10" s="7" customFormat="1">
      <c r="G73" s="65">
        <v>95</v>
      </c>
      <c r="H73" s="66" t="s">
        <v>159</v>
      </c>
      <c r="I73" s="61">
        <v>1.5</v>
      </c>
      <c r="J73" s="21">
        <v>550102.77</v>
      </c>
    </row>
    <row r="74" spans="2:10" s="7" customFormat="1">
      <c r="G74" s="65">
        <v>10</v>
      </c>
      <c r="H74" s="66" t="s">
        <v>38</v>
      </c>
      <c r="I74" s="41">
        <v>7.5</v>
      </c>
      <c r="J74" s="60">
        <v>3420412.5</v>
      </c>
    </row>
    <row r="75" spans="2:10" s="7" customFormat="1">
      <c r="B75"/>
      <c r="C75"/>
      <c r="D75"/>
      <c r="E75"/>
      <c r="G75" s="65">
        <v>82</v>
      </c>
      <c r="H75" s="66" t="s">
        <v>154</v>
      </c>
      <c r="I75" s="61">
        <v>2</v>
      </c>
      <c r="J75" s="21">
        <v>659200</v>
      </c>
    </row>
    <row r="76" spans="2:10">
      <c r="G76" s="65">
        <v>31</v>
      </c>
      <c r="H76" s="66" t="s">
        <v>155</v>
      </c>
      <c r="I76" s="61">
        <v>4</v>
      </c>
      <c r="J76" s="21">
        <v>1934106.85</v>
      </c>
    </row>
    <row r="77" spans="2:10" s="7" customFormat="1">
      <c r="G77" s="65">
        <v>123</v>
      </c>
      <c r="H77" s="66" t="s">
        <v>169</v>
      </c>
      <c r="I77" s="61">
        <v>0.5</v>
      </c>
      <c r="J77" s="21">
        <v>199987.05</v>
      </c>
    </row>
    <row r="78" spans="2:10" s="7" customFormat="1">
      <c r="G78" s="65">
        <v>32</v>
      </c>
      <c r="H78" s="66" t="s">
        <v>78</v>
      </c>
      <c r="I78" s="61">
        <v>3</v>
      </c>
      <c r="J78" s="21">
        <v>1848218.86</v>
      </c>
    </row>
    <row r="79" spans="2:10">
      <c r="G79" s="65">
        <v>80</v>
      </c>
      <c r="H79" s="66" t="s">
        <v>104</v>
      </c>
      <c r="I79" s="61">
        <v>1.75</v>
      </c>
      <c r="J79" s="21">
        <v>705538.07</v>
      </c>
    </row>
    <row r="80" spans="2:10">
      <c r="G80" s="65">
        <v>18</v>
      </c>
      <c r="H80" s="66" t="s">
        <v>66</v>
      </c>
      <c r="I80" s="41">
        <v>6</v>
      </c>
      <c r="J80" s="21">
        <v>2696140.07</v>
      </c>
    </row>
    <row r="81" spans="7:10">
      <c r="G81" s="65">
        <v>85</v>
      </c>
      <c r="H81" s="66" t="s">
        <v>279</v>
      </c>
      <c r="I81" s="61">
        <v>1</v>
      </c>
      <c r="J81" s="21">
        <v>638796</v>
      </c>
    </row>
    <row r="82" spans="7:10">
      <c r="G82" s="65">
        <v>43</v>
      </c>
      <c r="H82" s="66" t="s">
        <v>42</v>
      </c>
      <c r="I82" s="41">
        <v>4</v>
      </c>
      <c r="J82" s="60">
        <v>1452429.33</v>
      </c>
    </row>
    <row r="83" spans="7:10">
      <c r="G83" s="65">
        <v>11</v>
      </c>
      <c r="H83" s="66" t="s">
        <v>173</v>
      </c>
      <c r="I83" s="61">
        <v>1.5</v>
      </c>
      <c r="J83" s="21">
        <v>3350000</v>
      </c>
    </row>
    <row r="84" spans="7:10">
      <c r="G84" s="65">
        <v>53</v>
      </c>
      <c r="H84" s="66" t="s">
        <v>141</v>
      </c>
      <c r="I84" s="61">
        <v>4</v>
      </c>
      <c r="J84" s="21">
        <v>1271698.74</v>
      </c>
    </row>
    <row r="85" spans="7:10">
      <c r="G85" s="65">
        <v>23</v>
      </c>
      <c r="H85" s="66" t="s">
        <v>48</v>
      </c>
      <c r="I85" s="41">
        <v>5.5</v>
      </c>
      <c r="J85" s="60">
        <v>2216564.15</v>
      </c>
    </row>
    <row r="86" spans="7:10">
      <c r="G86" s="65">
        <v>116</v>
      </c>
      <c r="H86" s="66" t="s">
        <v>149</v>
      </c>
      <c r="I86" s="61">
        <v>0.5</v>
      </c>
      <c r="J86" s="21">
        <v>233500.33</v>
      </c>
    </row>
    <row r="87" spans="7:10">
      <c r="G87" s="65">
        <v>1</v>
      </c>
      <c r="H87" s="66" t="s">
        <v>92</v>
      </c>
      <c r="I87" s="61">
        <v>16.5</v>
      </c>
      <c r="J87" s="21">
        <v>7731808.3099999996</v>
      </c>
    </row>
    <row r="88" spans="7:10">
      <c r="G88" s="65">
        <v>107</v>
      </c>
      <c r="H88" s="66" t="s">
        <v>289</v>
      </c>
      <c r="I88" s="61">
        <v>1</v>
      </c>
      <c r="J88" s="21">
        <v>380283.14</v>
      </c>
    </row>
    <row r="89" spans="7:10">
      <c r="G89" s="65">
        <v>39</v>
      </c>
      <c r="H89" s="66" t="s">
        <v>56</v>
      </c>
      <c r="I89" s="41">
        <v>2.5</v>
      </c>
      <c r="J89" s="60">
        <v>1634290</v>
      </c>
    </row>
    <row r="90" spans="7:10">
      <c r="G90" s="65">
        <v>20</v>
      </c>
      <c r="H90" s="20" t="s">
        <v>19</v>
      </c>
      <c r="I90" s="41">
        <v>9</v>
      </c>
      <c r="J90" s="21">
        <v>2389024.15</v>
      </c>
    </row>
    <row r="91" spans="7:10">
      <c r="G91" s="65">
        <v>49</v>
      </c>
      <c r="H91" s="66" t="s">
        <v>51</v>
      </c>
      <c r="I91" s="41">
        <v>2</v>
      </c>
      <c r="J91" s="60">
        <v>1342533</v>
      </c>
    </row>
    <row r="92" spans="7:10">
      <c r="G92" s="65">
        <v>94</v>
      </c>
      <c r="H92" s="66" t="s">
        <v>267</v>
      </c>
      <c r="I92" s="61">
        <v>0.25</v>
      </c>
      <c r="J92" s="21">
        <v>568250</v>
      </c>
    </row>
    <row r="93" spans="7:10">
      <c r="G93" s="65">
        <v>52</v>
      </c>
      <c r="H93" s="66" t="s">
        <v>147</v>
      </c>
      <c r="I93" s="61">
        <v>3</v>
      </c>
      <c r="J93" s="21">
        <v>1290649.52</v>
      </c>
    </row>
    <row r="94" spans="7:10">
      <c r="G94" s="65">
        <v>70</v>
      </c>
      <c r="H94" s="66" t="s">
        <v>277</v>
      </c>
      <c r="I94" s="61">
        <v>2</v>
      </c>
      <c r="J94" s="21">
        <v>864871.79</v>
      </c>
    </row>
    <row r="95" spans="7:10">
      <c r="G95" s="65">
        <v>4</v>
      </c>
      <c r="H95" s="66" t="s">
        <v>256</v>
      </c>
      <c r="I95" s="41">
        <v>8</v>
      </c>
      <c r="J95" s="21">
        <v>4965269.28</v>
      </c>
    </row>
    <row r="96" spans="7:10">
      <c r="G96" s="65">
        <v>76</v>
      </c>
      <c r="H96" s="20" t="s">
        <v>16</v>
      </c>
      <c r="I96" s="67">
        <v>3</v>
      </c>
      <c r="J96" s="21">
        <v>722123</v>
      </c>
    </row>
    <row r="97" spans="7:10">
      <c r="G97" s="65">
        <v>34</v>
      </c>
      <c r="H97" s="66" t="s">
        <v>43</v>
      </c>
      <c r="I97" s="41">
        <v>5</v>
      </c>
      <c r="J97" s="60">
        <v>1776003.03</v>
      </c>
    </row>
    <row r="98" spans="7:10">
      <c r="G98" s="65">
        <v>110</v>
      </c>
      <c r="H98" s="66" t="s">
        <v>253</v>
      </c>
      <c r="I98" s="61">
        <v>1</v>
      </c>
      <c r="J98" s="21">
        <v>333514.5</v>
      </c>
    </row>
    <row r="99" spans="7:10">
      <c r="G99" s="65">
        <v>69</v>
      </c>
      <c r="H99" s="66" t="s">
        <v>60</v>
      </c>
      <c r="I99" s="41">
        <v>2</v>
      </c>
      <c r="J99" s="60">
        <v>875115.96</v>
      </c>
    </row>
    <row r="100" spans="7:10">
      <c r="G100" s="65">
        <v>5</v>
      </c>
      <c r="H100" s="20" t="s">
        <v>22</v>
      </c>
      <c r="I100" s="61">
        <v>10.25</v>
      </c>
      <c r="J100" s="21">
        <v>4633052.51</v>
      </c>
    </row>
    <row r="101" spans="7:10">
      <c r="G101" s="65">
        <v>111</v>
      </c>
      <c r="H101" s="66" t="s">
        <v>305</v>
      </c>
      <c r="I101" s="61">
        <v>1</v>
      </c>
      <c r="J101" s="21">
        <v>331050</v>
      </c>
    </row>
    <row r="102" spans="7:10">
      <c r="G102" s="65">
        <v>19</v>
      </c>
      <c r="H102" s="66" t="s">
        <v>63</v>
      </c>
      <c r="I102" s="41">
        <v>5</v>
      </c>
      <c r="J102" s="21">
        <v>2500901.66</v>
      </c>
    </row>
    <row r="103" spans="7:10">
      <c r="G103" s="65">
        <v>103</v>
      </c>
      <c r="H103" s="66" t="s">
        <v>275</v>
      </c>
      <c r="I103" s="61">
        <v>1</v>
      </c>
      <c r="J103" s="21">
        <v>384015</v>
      </c>
    </row>
    <row r="104" spans="7:10">
      <c r="G104" s="65">
        <v>71</v>
      </c>
      <c r="H104" s="66" t="s">
        <v>151</v>
      </c>
      <c r="I104" s="61">
        <v>2</v>
      </c>
      <c r="J104" s="21">
        <v>847000</v>
      </c>
    </row>
    <row r="105" spans="7:10">
      <c r="G105" s="65">
        <v>124</v>
      </c>
      <c r="H105" s="66" t="s">
        <v>73</v>
      </c>
      <c r="I105" s="61">
        <v>0.5</v>
      </c>
      <c r="J105" s="21">
        <v>193680</v>
      </c>
    </row>
    <row r="106" spans="7:10">
      <c r="G106" s="65">
        <v>57</v>
      </c>
      <c r="H106" s="66" t="s">
        <v>172</v>
      </c>
      <c r="I106" s="61">
        <v>3</v>
      </c>
      <c r="J106" s="21">
        <v>1132651.56</v>
      </c>
    </row>
    <row r="107" spans="7:10">
      <c r="G107" s="65">
        <v>36</v>
      </c>
      <c r="H107" s="66" t="s">
        <v>101</v>
      </c>
      <c r="I107" s="61">
        <v>3.5</v>
      </c>
      <c r="J107" s="21">
        <v>1694409.53</v>
      </c>
    </row>
    <row r="108" spans="7:10">
      <c r="G108" s="65">
        <v>17</v>
      </c>
      <c r="H108" s="66" t="s">
        <v>140</v>
      </c>
      <c r="I108" s="41">
        <v>6.5</v>
      </c>
      <c r="J108" s="60">
        <v>2804773.06</v>
      </c>
    </row>
    <row r="109" spans="7:10">
      <c r="G109" s="65">
        <v>55</v>
      </c>
      <c r="H109" s="66" t="s">
        <v>99</v>
      </c>
      <c r="I109" s="61">
        <v>3</v>
      </c>
      <c r="J109" s="21">
        <v>1172717.96</v>
      </c>
    </row>
    <row r="110" spans="7:10">
      <c r="G110" s="65">
        <v>65</v>
      </c>
      <c r="H110" s="66" t="s">
        <v>198</v>
      </c>
      <c r="I110" s="61">
        <v>2.5</v>
      </c>
      <c r="J110" s="21">
        <v>949092.29</v>
      </c>
    </row>
    <row r="111" spans="7:10">
      <c r="G111" s="65">
        <v>126</v>
      </c>
      <c r="H111" s="66" t="s">
        <v>177</v>
      </c>
      <c r="I111" s="61">
        <v>0.5</v>
      </c>
      <c r="J111" s="21">
        <v>186526.58</v>
      </c>
    </row>
    <row r="112" spans="7:10" s="7" customFormat="1">
      <c r="G112" s="65">
        <v>92</v>
      </c>
      <c r="H112" s="66" t="s">
        <v>160</v>
      </c>
      <c r="I112" s="61">
        <v>1.5</v>
      </c>
      <c r="J112" s="21">
        <v>571206.78</v>
      </c>
    </row>
    <row r="113" spans="7:10" s="7" customFormat="1">
      <c r="G113" s="65">
        <v>67</v>
      </c>
      <c r="H113" s="66" t="s">
        <v>50</v>
      </c>
      <c r="I113" s="41">
        <v>3</v>
      </c>
      <c r="J113" s="60">
        <v>916363.49</v>
      </c>
    </row>
    <row r="114" spans="7:10" s="7" customFormat="1">
      <c r="G114" s="65">
        <v>38</v>
      </c>
      <c r="H114" s="66" t="s">
        <v>290</v>
      </c>
      <c r="I114" s="61">
        <v>3.5</v>
      </c>
      <c r="J114" s="21">
        <v>1664863.15</v>
      </c>
    </row>
    <row r="115" spans="7:10" s="7" customFormat="1">
      <c r="G115" s="65">
        <v>109</v>
      </c>
      <c r="H115" s="66" t="s">
        <v>174</v>
      </c>
      <c r="I115" s="61">
        <v>1</v>
      </c>
      <c r="J115" s="21">
        <v>335423.21000000002</v>
      </c>
    </row>
    <row r="116" spans="7:10">
      <c r="G116" s="65">
        <v>50</v>
      </c>
      <c r="H116" s="66" t="s">
        <v>178</v>
      </c>
      <c r="I116" s="61">
        <v>3</v>
      </c>
      <c r="J116" s="21">
        <v>1307572.6000000001</v>
      </c>
    </row>
    <row r="117" spans="7:10" s="7" customFormat="1">
      <c r="G117" s="65">
        <v>46</v>
      </c>
      <c r="H117" s="66" t="s">
        <v>158</v>
      </c>
      <c r="I117" s="61">
        <v>3.5</v>
      </c>
      <c r="J117" s="21">
        <v>1403504.62</v>
      </c>
    </row>
    <row r="118" spans="7:10" s="7" customFormat="1">
      <c r="G118" s="65">
        <v>118</v>
      </c>
      <c r="H118" s="66" t="s">
        <v>286</v>
      </c>
      <c r="I118" s="61">
        <v>0.5</v>
      </c>
      <c r="J118" s="21">
        <v>225312.27</v>
      </c>
    </row>
    <row r="119" spans="7:10" s="7" customFormat="1">
      <c r="G119" s="65">
        <v>62</v>
      </c>
      <c r="H119" s="66" t="s">
        <v>95</v>
      </c>
      <c r="I119" s="61">
        <v>2.5</v>
      </c>
      <c r="J119" s="21">
        <v>1023795.03</v>
      </c>
    </row>
    <row r="120" spans="7:10" s="7" customFormat="1">
      <c r="G120" s="65">
        <v>44</v>
      </c>
      <c r="H120" s="63" t="s">
        <v>96</v>
      </c>
      <c r="I120" s="61">
        <v>3</v>
      </c>
      <c r="J120" s="21">
        <v>1438921</v>
      </c>
    </row>
    <row r="121" spans="7:10" s="7" customFormat="1">
      <c r="G121" s="65">
        <v>24</v>
      </c>
      <c r="H121" s="66" t="s">
        <v>97</v>
      </c>
      <c r="I121" s="41">
        <v>5.5</v>
      </c>
      <c r="J121" s="60">
        <v>2197693.69</v>
      </c>
    </row>
    <row r="122" spans="7:10" s="7" customFormat="1">
      <c r="G122" s="65">
        <v>102</v>
      </c>
      <c r="H122" s="66" t="s">
        <v>106</v>
      </c>
      <c r="I122" s="61">
        <v>2</v>
      </c>
      <c r="J122" s="21">
        <v>415500</v>
      </c>
    </row>
    <row r="123" spans="7:10" s="7" customFormat="1">
      <c r="G123" s="65">
        <v>28</v>
      </c>
      <c r="H123" s="17" t="s">
        <v>20</v>
      </c>
      <c r="I123" s="69">
        <v>4</v>
      </c>
      <c r="J123" s="60">
        <v>2057510</v>
      </c>
    </row>
    <row r="124" spans="7:10" s="7" customFormat="1">
      <c r="G124" s="65">
        <v>115</v>
      </c>
      <c r="H124" s="66" t="s">
        <v>262</v>
      </c>
      <c r="I124" s="61">
        <v>1</v>
      </c>
      <c r="J124" s="21">
        <v>241840</v>
      </c>
    </row>
    <row r="125" spans="7:10" s="7" customFormat="1">
      <c r="G125" s="65">
        <v>40</v>
      </c>
      <c r="H125" s="66" t="s">
        <v>72</v>
      </c>
      <c r="I125" s="61">
        <v>3</v>
      </c>
      <c r="J125" s="21">
        <v>1612800</v>
      </c>
    </row>
    <row r="126" spans="7:10" s="7" customFormat="1">
      <c r="G126" s="65">
        <v>27</v>
      </c>
      <c r="H126" s="66" t="s">
        <v>44</v>
      </c>
      <c r="I126" s="41">
        <v>5</v>
      </c>
      <c r="J126" s="60">
        <v>2113474.41</v>
      </c>
    </row>
    <row r="127" spans="7:10" s="7" customFormat="1">
      <c r="G127" s="65">
        <v>41</v>
      </c>
      <c r="H127" s="66" t="s">
        <v>150</v>
      </c>
      <c r="I127" s="61">
        <v>4</v>
      </c>
      <c r="J127" s="21">
        <v>1557110.5</v>
      </c>
    </row>
    <row r="128" spans="7:10" s="7" customFormat="1">
      <c r="G128" s="65">
        <v>59</v>
      </c>
      <c r="H128" s="66" t="s">
        <v>128</v>
      </c>
      <c r="I128" s="61">
        <v>0.5</v>
      </c>
      <c r="J128" s="21">
        <v>1080000</v>
      </c>
    </row>
    <row r="129" spans="7:10" s="7" customFormat="1">
      <c r="G129" s="65">
        <v>21</v>
      </c>
      <c r="H129" s="20" t="s">
        <v>34</v>
      </c>
      <c r="I129" s="41">
        <v>4</v>
      </c>
      <c r="J129" s="21">
        <v>2333865.66</v>
      </c>
    </row>
    <row r="130" spans="7:10" s="7" customFormat="1">
      <c r="G130" s="65">
        <v>6</v>
      </c>
      <c r="H130" s="66" t="s">
        <v>52</v>
      </c>
      <c r="I130" s="41">
        <v>2</v>
      </c>
      <c r="J130" s="60">
        <v>4490000</v>
      </c>
    </row>
    <row r="131" spans="7:10" s="7" customFormat="1">
      <c r="G131" s="65">
        <v>120</v>
      </c>
      <c r="H131" s="66" t="s">
        <v>298</v>
      </c>
      <c r="I131" s="61">
        <v>0.5</v>
      </c>
      <c r="J131" s="21">
        <v>222914.63</v>
      </c>
    </row>
    <row r="132" spans="7:10" s="7" customFormat="1">
      <c r="G132" s="65">
        <v>45</v>
      </c>
      <c r="H132" s="66" t="s">
        <v>84</v>
      </c>
      <c r="I132" s="61">
        <v>3</v>
      </c>
      <c r="J132" s="21">
        <v>1410995.32</v>
      </c>
    </row>
    <row r="133" spans="7:10">
      <c r="G133" s="65">
        <v>77</v>
      </c>
      <c r="H133" s="66" t="s">
        <v>163</v>
      </c>
      <c r="I133" s="61">
        <v>2</v>
      </c>
      <c r="J133" s="21">
        <v>721550</v>
      </c>
    </row>
    <row r="134" spans="7:10">
      <c r="G134" s="29"/>
      <c r="H134" s="20"/>
      <c r="I134" s="26"/>
      <c r="J134" s="21"/>
    </row>
    <row r="135" spans="7:10">
      <c r="G135" s="37" t="s">
        <v>12</v>
      </c>
      <c r="H135" s="37"/>
      <c r="I135" s="80">
        <f>SUM(I6:I134)</f>
        <v>379.5</v>
      </c>
      <c r="J135" s="31">
        <f>SUM(J6:J134)</f>
        <v>177822123.37999997</v>
      </c>
    </row>
    <row r="136" spans="7:10">
      <c r="I136" s="50"/>
      <c r="J136" s="6"/>
    </row>
    <row r="137" spans="7:10">
      <c r="H137" s="35"/>
      <c r="I137" s="6"/>
      <c r="J137" s="6"/>
    </row>
    <row r="138" spans="7:10">
      <c r="J138" s="6"/>
    </row>
    <row r="139" spans="7:10">
      <c r="J139" s="6"/>
    </row>
  </sheetData>
  <autoFilter ref="G5:J5">
    <sortState ref="G6:J133">
      <sortCondition ref="H5"/>
    </sortState>
  </autoFilter>
  <sortState ref="G6:J34">
    <sortCondition descending="1" ref="G5"/>
  </sortState>
  <mergeCells count="14">
    <mergeCell ref="B38:E38"/>
    <mergeCell ref="B30:C30"/>
    <mergeCell ref="B24:C24"/>
    <mergeCell ref="B33:E33"/>
    <mergeCell ref="B34:C34"/>
    <mergeCell ref="D34:E34"/>
    <mergeCell ref="B35:C37"/>
    <mergeCell ref="D35:E37"/>
    <mergeCell ref="B4:E4"/>
    <mergeCell ref="G4:J4"/>
    <mergeCell ref="B15:C15"/>
    <mergeCell ref="B18:E18"/>
    <mergeCell ref="B26:E26"/>
    <mergeCell ref="B20:C20"/>
  </mergeCells>
  <pageMargins left="0.51181102362204722" right="0.51181102362204722" top="0.78740157480314965" bottom="0.78740157480314965" header="0.31496062992125984" footer="0.31496062992125984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N112"/>
  <sheetViews>
    <sheetView workbookViewId="0">
      <selection activeCell="A40" sqref="A40"/>
    </sheetView>
  </sheetViews>
  <sheetFormatPr defaultRowHeight="14.4"/>
  <cols>
    <col min="1" max="1" width="25.33203125" style="7" bestFit="1" customWidth="1"/>
    <col min="2" max="2" width="13" customWidth="1"/>
    <col min="3" max="3" width="19.109375" bestFit="1" customWidth="1"/>
    <col min="4" max="4" width="13.33203125" customWidth="1"/>
    <col min="5" max="5" width="14.109375" customWidth="1"/>
    <col min="6" max="6" width="15" customWidth="1"/>
    <col min="7" max="7" width="13.33203125" style="7" customWidth="1"/>
    <col min="8" max="8" width="14" customWidth="1"/>
    <col min="9" max="9" width="9" style="7" customWidth="1"/>
    <col min="10" max="10" width="4" customWidth="1"/>
    <col min="11" max="11" width="15" customWidth="1"/>
    <col min="12" max="12" width="10.5546875" customWidth="1"/>
    <col min="13" max="13" width="14.33203125" bestFit="1" customWidth="1"/>
    <col min="14" max="14" width="4.6640625" customWidth="1"/>
  </cols>
  <sheetData>
    <row r="2" spans="1:14">
      <c r="A2" s="8" t="s">
        <v>11</v>
      </c>
      <c r="B2" s="8" t="s">
        <v>10</v>
      </c>
      <c r="C2" s="8" t="s">
        <v>0</v>
      </c>
      <c r="D2" s="8" t="s">
        <v>1</v>
      </c>
      <c r="E2" s="8" t="s">
        <v>2</v>
      </c>
      <c r="F2" s="8" t="s">
        <v>28</v>
      </c>
      <c r="G2" s="8" t="s">
        <v>29</v>
      </c>
      <c r="H2" s="8" t="s">
        <v>3</v>
      </c>
      <c r="I2" s="8" t="s">
        <v>13</v>
      </c>
      <c r="J2" s="7"/>
      <c r="K2" s="282" t="s">
        <v>13</v>
      </c>
      <c r="L2" s="282"/>
      <c r="M2" s="282"/>
    </row>
    <row r="3" spans="1:14">
      <c r="A3" s="15" t="s">
        <v>146</v>
      </c>
      <c r="B3" s="25" t="s">
        <v>85</v>
      </c>
      <c r="C3" s="25">
        <v>2610</v>
      </c>
      <c r="D3" s="98">
        <v>41430</v>
      </c>
      <c r="E3" s="25" t="s">
        <v>61</v>
      </c>
      <c r="F3" s="105">
        <v>1429.4</v>
      </c>
      <c r="G3" s="105">
        <v>1188.44</v>
      </c>
      <c r="H3" s="105">
        <v>408400</v>
      </c>
      <c r="I3" s="25">
        <v>1</v>
      </c>
      <c r="J3" s="7"/>
      <c r="K3" s="8" t="s">
        <v>6</v>
      </c>
      <c r="L3" s="8" t="s">
        <v>5</v>
      </c>
      <c r="M3" s="8" t="s">
        <v>3</v>
      </c>
    </row>
    <row r="4" spans="1:14" s="7" customFormat="1">
      <c r="A4" s="15" t="s">
        <v>259</v>
      </c>
      <c r="B4" s="25" t="s">
        <v>85</v>
      </c>
      <c r="C4" s="25">
        <v>93</v>
      </c>
      <c r="D4" s="98">
        <v>41444</v>
      </c>
      <c r="E4" s="25" t="s">
        <v>61</v>
      </c>
      <c r="F4" s="105">
        <v>2205</v>
      </c>
      <c r="G4" s="105">
        <v>0</v>
      </c>
      <c r="H4" s="105">
        <v>630000</v>
      </c>
      <c r="I4" s="25">
        <v>1</v>
      </c>
      <c r="K4" s="17" t="s">
        <v>143</v>
      </c>
      <c r="L4" s="118">
        <f>SUM(I85:I95)</f>
        <v>9.75</v>
      </c>
      <c r="M4" s="16">
        <f>SUM(H85:H95)</f>
        <v>6585546.6099999994</v>
      </c>
    </row>
    <row r="5" spans="1:14">
      <c r="A5" s="15" t="s">
        <v>270</v>
      </c>
      <c r="B5" s="25" t="s">
        <v>175</v>
      </c>
      <c r="C5" s="25">
        <v>72</v>
      </c>
      <c r="D5" s="98">
        <v>41451</v>
      </c>
      <c r="E5" s="25" t="s">
        <v>61</v>
      </c>
      <c r="F5" s="105">
        <v>1793.15</v>
      </c>
      <c r="G5" s="105">
        <v>1306.44</v>
      </c>
      <c r="H5" s="105">
        <v>512328.88</v>
      </c>
      <c r="I5" s="25">
        <v>1</v>
      </c>
      <c r="J5" s="33"/>
      <c r="K5" s="20" t="s">
        <v>33</v>
      </c>
      <c r="L5" s="61">
        <f>SUM(I40:I53)</f>
        <v>13</v>
      </c>
      <c r="M5" s="38">
        <f>SUM(H40:H53)</f>
        <v>5166419.3</v>
      </c>
      <c r="N5" s="7"/>
    </row>
    <row r="6" spans="1:14" s="7" customFormat="1">
      <c r="A6" s="15" t="s">
        <v>270</v>
      </c>
      <c r="B6" s="25" t="s">
        <v>273</v>
      </c>
      <c r="C6" s="25">
        <v>26</v>
      </c>
      <c r="D6" s="98">
        <v>41451</v>
      </c>
      <c r="E6" s="25" t="s">
        <v>61</v>
      </c>
      <c r="F6" s="105">
        <v>1577.19</v>
      </c>
      <c r="G6" s="105">
        <v>1825.03</v>
      </c>
      <c r="H6" s="105">
        <v>450624.53</v>
      </c>
      <c r="I6" s="25">
        <v>1</v>
      </c>
      <c r="J6" s="33"/>
      <c r="K6" s="20" t="s">
        <v>131</v>
      </c>
      <c r="L6" s="119">
        <f>SUM(I3:I15)</f>
        <v>12.5</v>
      </c>
      <c r="M6" s="38">
        <f>SUM(H3:H15)</f>
        <v>5582804.2400000012</v>
      </c>
    </row>
    <row r="7" spans="1:14">
      <c r="A7" s="15" t="s">
        <v>270</v>
      </c>
      <c r="B7" s="25" t="s">
        <v>273</v>
      </c>
      <c r="C7" s="42">
        <v>48</v>
      </c>
      <c r="D7" s="9">
        <v>41450</v>
      </c>
      <c r="E7" s="25" t="s">
        <v>61</v>
      </c>
      <c r="F7" s="10">
        <v>1344.37</v>
      </c>
      <c r="G7" s="10">
        <v>1555.62</v>
      </c>
      <c r="H7" s="10">
        <v>384104.85</v>
      </c>
      <c r="I7" s="62">
        <v>1</v>
      </c>
      <c r="J7" s="33"/>
      <c r="K7" s="20" t="s">
        <v>134</v>
      </c>
      <c r="L7" s="119"/>
      <c r="M7" s="38"/>
      <c r="N7" s="7"/>
    </row>
    <row r="8" spans="1:14" s="7" customFormat="1">
      <c r="A8" s="15" t="s">
        <v>270</v>
      </c>
      <c r="B8" s="25" t="s">
        <v>273</v>
      </c>
      <c r="C8" s="42">
        <v>28</v>
      </c>
      <c r="D8" s="9">
        <v>41450</v>
      </c>
      <c r="E8" s="25" t="s">
        <v>61</v>
      </c>
      <c r="F8" s="10">
        <v>1317.62</v>
      </c>
      <c r="G8" s="10">
        <v>1524.67</v>
      </c>
      <c r="H8" s="10">
        <v>376461.43</v>
      </c>
      <c r="I8" s="62">
        <v>1</v>
      </c>
      <c r="J8" s="33"/>
      <c r="K8" s="20" t="s">
        <v>132</v>
      </c>
      <c r="L8" s="119">
        <f>SUM(I54:I70)</f>
        <v>15</v>
      </c>
      <c r="M8" s="38">
        <f>SUM(H54:H70)</f>
        <v>6647414.5900000008</v>
      </c>
    </row>
    <row r="9" spans="1:14">
      <c r="A9" s="15" t="s">
        <v>270</v>
      </c>
      <c r="B9" s="25" t="s">
        <v>271</v>
      </c>
      <c r="C9" s="39">
        <v>31</v>
      </c>
      <c r="D9" s="12">
        <v>41451</v>
      </c>
      <c r="E9" s="25" t="s">
        <v>61</v>
      </c>
      <c r="F9" s="10">
        <v>1345.39</v>
      </c>
      <c r="G9" s="10">
        <v>1556.8</v>
      </c>
      <c r="H9" s="10">
        <v>384395.95</v>
      </c>
      <c r="I9" s="34">
        <v>1</v>
      </c>
      <c r="J9" s="33"/>
      <c r="K9" s="20" t="s">
        <v>79</v>
      </c>
      <c r="L9" s="119">
        <f>SUM(I16:I27)</f>
        <v>10.5</v>
      </c>
      <c r="M9" s="21">
        <f>SUM(H16:H27)</f>
        <v>4827063.0799999991</v>
      </c>
      <c r="N9" s="7"/>
    </row>
    <row r="10" spans="1:14">
      <c r="A10" s="15" t="s">
        <v>270</v>
      </c>
      <c r="B10" s="25" t="s">
        <v>271</v>
      </c>
      <c r="C10" s="39">
        <v>38</v>
      </c>
      <c r="D10" s="12">
        <v>41451</v>
      </c>
      <c r="E10" s="25" t="s">
        <v>61</v>
      </c>
      <c r="F10" s="10">
        <v>1345.39</v>
      </c>
      <c r="G10" s="10">
        <v>1556.8</v>
      </c>
      <c r="H10" s="10">
        <v>384395.95</v>
      </c>
      <c r="I10" s="34">
        <v>1</v>
      </c>
      <c r="J10" s="33"/>
      <c r="K10" s="20" t="s">
        <v>26</v>
      </c>
      <c r="L10" s="61">
        <f>SUM(I71:I84)</f>
        <v>12.25</v>
      </c>
      <c r="M10" s="38">
        <f>SUM(H71:H84)</f>
        <v>7611356.3700000001</v>
      </c>
      <c r="N10" s="7"/>
    </row>
    <row r="11" spans="1:14">
      <c r="A11" s="15" t="s">
        <v>270</v>
      </c>
      <c r="B11" s="25" t="s">
        <v>278</v>
      </c>
      <c r="C11" s="39">
        <v>41</v>
      </c>
      <c r="D11" s="12">
        <v>41451</v>
      </c>
      <c r="E11" s="25" t="s">
        <v>61</v>
      </c>
      <c r="F11" s="10">
        <v>2218.84</v>
      </c>
      <c r="G11" s="10">
        <v>2510.46</v>
      </c>
      <c r="H11" s="10">
        <v>633955.6</v>
      </c>
      <c r="I11" s="34">
        <v>1</v>
      </c>
      <c r="J11" s="33"/>
      <c r="K11" s="20" t="s">
        <v>23</v>
      </c>
      <c r="L11" s="61">
        <f>SUM(I96:I107)</f>
        <v>10.5</v>
      </c>
      <c r="M11" s="21">
        <f>SUM(H96:H107)</f>
        <v>4114464.39</v>
      </c>
      <c r="N11" s="7"/>
    </row>
    <row r="12" spans="1:14">
      <c r="A12" s="109" t="s">
        <v>270</v>
      </c>
      <c r="B12" s="110" t="s">
        <v>271</v>
      </c>
      <c r="C12" s="111">
        <v>87</v>
      </c>
      <c r="D12" s="115">
        <v>41451</v>
      </c>
      <c r="E12" s="110" t="s">
        <v>61</v>
      </c>
      <c r="F12" s="113">
        <v>4193.8500000000004</v>
      </c>
      <c r="G12" s="113">
        <v>1592.35</v>
      </c>
      <c r="H12" s="113">
        <v>262115.65</v>
      </c>
      <c r="I12" s="114">
        <v>0.5</v>
      </c>
      <c r="J12" s="33"/>
      <c r="K12" s="17" t="s">
        <v>35</v>
      </c>
      <c r="L12" s="118"/>
      <c r="M12" s="16"/>
      <c r="N12" s="7"/>
    </row>
    <row r="13" spans="1:14" s="7" customFormat="1">
      <c r="A13" s="15" t="s">
        <v>270</v>
      </c>
      <c r="B13" s="25" t="s">
        <v>271</v>
      </c>
      <c r="C13" s="39">
        <v>85</v>
      </c>
      <c r="D13" s="9">
        <v>41451</v>
      </c>
      <c r="E13" s="25" t="s">
        <v>61</v>
      </c>
      <c r="F13" s="10">
        <v>1396.22</v>
      </c>
      <c r="G13" s="10">
        <v>1615.62</v>
      </c>
      <c r="H13" s="10">
        <v>398919.4</v>
      </c>
      <c r="I13" s="62">
        <v>1</v>
      </c>
      <c r="J13" s="33"/>
      <c r="K13" s="20" t="s">
        <v>130</v>
      </c>
      <c r="L13" s="119">
        <f>SUM(I28:I39)</f>
        <v>10</v>
      </c>
      <c r="M13" s="21">
        <f>SUM(H28:H39)</f>
        <v>4563079.6400000006</v>
      </c>
    </row>
    <row r="14" spans="1:14" s="7" customFormat="1">
      <c r="A14" s="15" t="s">
        <v>145</v>
      </c>
      <c r="B14" s="25" t="s">
        <v>85</v>
      </c>
      <c r="C14" s="39">
        <v>815</v>
      </c>
      <c r="D14" s="12">
        <v>41455</v>
      </c>
      <c r="E14" s="25" t="s">
        <v>61</v>
      </c>
      <c r="F14" s="10">
        <v>1334.9</v>
      </c>
      <c r="G14" s="10">
        <v>1796.39</v>
      </c>
      <c r="H14" s="10">
        <v>381400</v>
      </c>
      <c r="I14" s="62">
        <v>1</v>
      </c>
      <c r="J14" s="33"/>
      <c r="K14" s="17"/>
      <c r="L14" s="120"/>
      <c r="M14" s="16"/>
    </row>
    <row r="15" spans="1:14">
      <c r="A15" s="15" t="s">
        <v>270</v>
      </c>
      <c r="B15" s="25" t="s">
        <v>271</v>
      </c>
      <c r="C15" s="42">
        <v>18</v>
      </c>
      <c r="D15" s="9">
        <v>41455</v>
      </c>
      <c r="E15" s="25" t="s">
        <v>61</v>
      </c>
      <c r="F15" s="10">
        <v>1314.96</v>
      </c>
      <c r="G15" s="10">
        <v>1521.59</v>
      </c>
      <c r="H15" s="10">
        <v>375702</v>
      </c>
      <c r="I15" s="62">
        <v>1</v>
      </c>
      <c r="J15" s="33"/>
      <c r="K15" s="18" t="s">
        <v>12</v>
      </c>
      <c r="L15" s="70">
        <f>SUM(L4:L13)</f>
        <v>93.5</v>
      </c>
      <c r="M15" s="19">
        <f>SUM(M4:M14)</f>
        <v>45098148.219999999</v>
      </c>
    </row>
    <row r="16" spans="1:14">
      <c r="A16" s="11" t="s">
        <v>146</v>
      </c>
      <c r="B16" s="25" t="s">
        <v>85</v>
      </c>
      <c r="C16" s="25">
        <v>2003</v>
      </c>
      <c r="D16" s="98">
        <v>41431</v>
      </c>
      <c r="E16" s="25" t="s">
        <v>79</v>
      </c>
      <c r="F16" s="105">
        <v>1088.98</v>
      </c>
      <c r="G16" s="105">
        <v>0</v>
      </c>
      <c r="H16" s="105">
        <v>311136</v>
      </c>
      <c r="I16" s="25">
        <v>1</v>
      </c>
      <c r="J16" s="52"/>
      <c r="K16" s="121"/>
      <c r="L16" s="121"/>
      <c r="M16" s="121"/>
    </row>
    <row r="17" spans="1:13" s="7" customFormat="1">
      <c r="A17" s="15" t="s">
        <v>146</v>
      </c>
      <c r="B17" s="25" t="s">
        <v>85</v>
      </c>
      <c r="C17" s="42">
        <v>2112</v>
      </c>
      <c r="D17" s="9">
        <v>41434</v>
      </c>
      <c r="E17" s="12" t="s">
        <v>79</v>
      </c>
      <c r="F17" s="106">
        <v>1192.25</v>
      </c>
      <c r="G17" s="106">
        <v>1890.57</v>
      </c>
      <c r="H17" s="106">
        <v>340643.86</v>
      </c>
      <c r="I17" s="62">
        <v>0.5</v>
      </c>
      <c r="J17" s="52"/>
      <c r="K17" s="3"/>
      <c r="L17" s="4"/>
      <c r="M17" s="4"/>
    </row>
    <row r="18" spans="1:13">
      <c r="A18" s="15" t="s">
        <v>146</v>
      </c>
      <c r="B18" s="25" t="s">
        <v>85</v>
      </c>
      <c r="C18" s="42">
        <v>1508</v>
      </c>
      <c r="D18" s="9">
        <v>41437</v>
      </c>
      <c r="E18" s="12" t="s">
        <v>79</v>
      </c>
      <c r="F18" s="106">
        <v>688.98</v>
      </c>
      <c r="G18" s="106">
        <v>0</v>
      </c>
      <c r="H18" s="106">
        <v>196850</v>
      </c>
      <c r="I18" s="62">
        <v>0.5</v>
      </c>
      <c r="J18" s="27"/>
      <c r="K18" s="283"/>
      <c r="L18" s="283"/>
      <c r="M18" s="283"/>
    </row>
    <row r="19" spans="1:13" s="7" customFormat="1">
      <c r="A19" s="15" t="s">
        <v>146</v>
      </c>
      <c r="B19" s="25" t="s">
        <v>85</v>
      </c>
      <c r="C19" s="42">
        <v>508</v>
      </c>
      <c r="D19" s="9">
        <v>41437</v>
      </c>
      <c r="E19" s="12" t="s">
        <v>79</v>
      </c>
      <c r="F19" s="106">
        <v>665.7</v>
      </c>
      <c r="G19" s="106">
        <v>0</v>
      </c>
      <c r="H19" s="106">
        <v>190200</v>
      </c>
      <c r="I19" s="62">
        <v>0.5</v>
      </c>
      <c r="J19" s="27"/>
      <c r="K19" s="53"/>
      <c r="L19" s="53"/>
      <c r="M19" s="53"/>
    </row>
    <row r="20" spans="1:13" s="7" customFormat="1">
      <c r="A20" s="15" t="s">
        <v>146</v>
      </c>
      <c r="B20" s="25" t="s">
        <v>85</v>
      </c>
      <c r="C20" s="42">
        <v>907</v>
      </c>
      <c r="D20" s="9">
        <v>41451</v>
      </c>
      <c r="E20" s="12" t="s">
        <v>79</v>
      </c>
      <c r="F20" s="106">
        <v>1296.05</v>
      </c>
      <c r="G20" s="106">
        <v>2055.17</v>
      </c>
      <c r="H20" s="106">
        <v>370300</v>
      </c>
      <c r="I20" s="62">
        <v>1</v>
      </c>
      <c r="J20" s="27"/>
      <c r="K20" s="54"/>
      <c r="L20" s="55"/>
      <c r="M20" s="56"/>
    </row>
    <row r="21" spans="1:13">
      <c r="A21" s="15" t="s">
        <v>270</v>
      </c>
      <c r="B21" s="25" t="s">
        <v>175</v>
      </c>
      <c r="C21" s="42">
        <v>5</v>
      </c>
      <c r="D21" s="9">
        <v>41455</v>
      </c>
      <c r="E21" s="12" t="s">
        <v>79</v>
      </c>
      <c r="F21" s="106">
        <v>1350.37</v>
      </c>
      <c r="G21" s="106">
        <v>1562.57</v>
      </c>
      <c r="H21" s="106">
        <v>385819.99</v>
      </c>
      <c r="I21" s="62">
        <v>1</v>
      </c>
      <c r="J21" s="27"/>
      <c r="K21" s="54"/>
      <c r="L21" s="54"/>
      <c r="M21" s="54"/>
    </row>
    <row r="22" spans="1:13">
      <c r="A22" s="15" t="s">
        <v>270</v>
      </c>
      <c r="B22" s="25" t="s">
        <v>278</v>
      </c>
      <c r="C22" s="42">
        <v>22</v>
      </c>
      <c r="D22" s="9">
        <v>41455</v>
      </c>
      <c r="E22" s="12" t="s">
        <v>79</v>
      </c>
      <c r="F22" s="106">
        <v>2235.79</v>
      </c>
      <c r="G22" s="106">
        <v>2587.12</v>
      </c>
      <c r="H22" s="106">
        <v>638796</v>
      </c>
      <c r="I22" s="62">
        <v>1</v>
      </c>
      <c r="J22" s="52"/>
      <c r="K22" s="57"/>
      <c r="L22" s="58"/>
      <c r="M22" s="59"/>
    </row>
    <row r="23" spans="1:13">
      <c r="A23" s="15" t="s">
        <v>270</v>
      </c>
      <c r="B23" s="25" t="s">
        <v>273</v>
      </c>
      <c r="C23" s="39">
        <v>24</v>
      </c>
      <c r="D23" s="9">
        <v>41452</v>
      </c>
      <c r="E23" s="12" t="s">
        <v>79</v>
      </c>
      <c r="F23" s="10">
        <v>1158.68</v>
      </c>
      <c r="G23" s="10">
        <v>1340.75</v>
      </c>
      <c r="H23" s="10">
        <v>331050</v>
      </c>
      <c r="I23" s="62">
        <v>1</v>
      </c>
      <c r="J23" s="52"/>
      <c r="K23" s="3"/>
      <c r="L23" s="3"/>
      <c r="M23" s="4"/>
    </row>
    <row r="24" spans="1:13">
      <c r="A24" s="15" t="s">
        <v>270</v>
      </c>
      <c r="B24" s="25" t="s">
        <v>273</v>
      </c>
      <c r="C24" s="39">
        <v>33</v>
      </c>
      <c r="D24" s="9">
        <v>41455</v>
      </c>
      <c r="E24" s="12" t="s">
        <v>79</v>
      </c>
      <c r="F24" s="10">
        <v>1545.78</v>
      </c>
      <c r="G24" s="10">
        <v>1126.21</v>
      </c>
      <c r="H24" s="10">
        <v>441650</v>
      </c>
      <c r="I24" s="62">
        <v>1</v>
      </c>
      <c r="J24" s="52"/>
    </row>
    <row r="25" spans="1:13">
      <c r="A25" s="15" t="s">
        <v>270</v>
      </c>
      <c r="B25" s="25" t="s">
        <v>272</v>
      </c>
      <c r="C25" s="42">
        <v>51</v>
      </c>
      <c r="D25" s="9">
        <v>41452</v>
      </c>
      <c r="E25" s="12" t="s">
        <v>79</v>
      </c>
      <c r="F25" s="106">
        <v>2258.29</v>
      </c>
      <c r="G25" s="106">
        <v>1180.77</v>
      </c>
      <c r="H25" s="106">
        <v>645227.11</v>
      </c>
      <c r="I25" s="62">
        <v>1</v>
      </c>
      <c r="J25" s="27"/>
      <c r="L25" s="35"/>
      <c r="M25" s="6"/>
    </row>
    <row r="26" spans="1:13">
      <c r="A26" s="15" t="s">
        <v>270</v>
      </c>
      <c r="B26" s="25" t="s">
        <v>175</v>
      </c>
      <c r="C26" s="42">
        <v>52</v>
      </c>
      <c r="D26" s="9">
        <v>41452</v>
      </c>
      <c r="E26" s="12" t="s">
        <v>79</v>
      </c>
      <c r="F26" s="106">
        <v>1737.18</v>
      </c>
      <c r="G26" s="106">
        <v>2010.17</v>
      </c>
      <c r="H26" s="106">
        <v>496338.32</v>
      </c>
      <c r="I26" s="62">
        <v>1</v>
      </c>
      <c r="J26" s="27"/>
      <c r="K26" s="7"/>
      <c r="L26" s="35"/>
      <c r="M26" s="6"/>
    </row>
    <row r="27" spans="1:13">
      <c r="A27" s="15" t="s">
        <v>270</v>
      </c>
      <c r="B27" s="25" t="s">
        <v>273</v>
      </c>
      <c r="C27" s="42">
        <v>53</v>
      </c>
      <c r="D27" s="9">
        <v>41451</v>
      </c>
      <c r="E27" s="12" t="s">
        <v>79</v>
      </c>
      <c r="F27" s="106">
        <v>1676.68</v>
      </c>
      <c r="G27" s="106">
        <v>1940.16</v>
      </c>
      <c r="H27" s="106">
        <v>479051.8</v>
      </c>
      <c r="I27" s="62">
        <v>1</v>
      </c>
      <c r="J27" s="27"/>
      <c r="K27" s="7"/>
      <c r="L27" s="35"/>
      <c r="M27" s="6"/>
    </row>
    <row r="28" spans="1:13" s="7" customFormat="1">
      <c r="A28" s="15" t="s">
        <v>146</v>
      </c>
      <c r="B28" s="25" t="s">
        <v>85</v>
      </c>
      <c r="C28" s="39">
        <v>1906</v>
      </c>
      <c r="D28" s="9">
        <v>41398</v>
      </c>
      <c r="E28" s="25" t="s">
        <v>27</v>
      </c>
      <c r="F28" s="105">
        <v>1607.15</v>
      </c>
      <c r="G28" s="105">
        <v>2229.9299999999998</v>
      </c>
      <c r="H28" s="105">
        <v>401788.53</v>
      </c>
      <c r="I28" s="25">
        <v>1</v>
      </c>
      <c r="L28" s="35"/>
      <c r="M28" s="6"/>
    </row>
    <row r="29" spans="1:13">
      <c r="A29" s="15" t="s">
        <v>146</v>
      </c>
      <c r="B29" s="25" t="s">
        <v>85</v>
      </c>
      <c r="C29" s="42">
        <v>2112</v>
      </c>
      <c r="D29" s="9">
        <v>41434</v>
      </c>
      <c r="E29" s="12" t="s">
        <v>27</v>
      </c>
      <c r="F29" s="106">
        <v>1192.25</v>
      </c>
      <c r="G29" s="106">
        <v>1890.57</v>
      </c>
      <c r="H29" s="106">
        <v>340643.86</v>
      </c>
      <c r="I29" s="62">
        <v>0.5</v>
      </c>
      <c r="J29" s="7"/>
      <c r="K29" s="7"/>
      <c r="L29" s="35"/>
      <c r="M29" s="6"/>
    </row>
    <row r="30" spans="1:13">
      <c r="A30" s="15" t="s">
        <v>146</v>
      </c>
      <c r="B30" s="25" t="s">
        <v>85</v>
      </c>
      <c r="C30" s="42">
        <v>1508</v>
      </c>
      <c r="D30" s="9">
        <v>41437</v>
      </c>
      <c r="E30" s="12" t="s">
        <v>27</v>
      </c>
      <c r="F30" s="106">
        <v>688.98</v>
      </c>
      <c r="G30" s="106">
        <v>0</v>
      </c>
      <c r="H30" s="106">
        <v>196850</v>
      </c>
      <c r="I30" s="62">
        <v>0.5</v>
      </c>
      <c r="J30" s="7"/>
      <c r="K30" s="7"/>
      <c r="L30" s="35"/>
      <c r="M30" s="6"/>
    </row>
    <row r="31" spans="1:13" s="7" customFormat="1">
      <c r="A31" s="15" t="s">
        <v>146</v>
      </c>
      <c r="B31" s="25" t="s">
        <v>85</v>
      </c>
      <c r="C31" s="42">
        <v>508</v>
      </c>
      <c r="D31" s="9">
        <v>41437</v>
      </c>
      <c r="E31" s="12" t="s">
        <v>27</v>
      </c>
      <c r="F31" s="106">
        <v>665.7</v>
      </c>
      <c r="G31" s="106">
        <v>0</v>
      </c>
      <c r="H31" s="106">
        <v>190200</v>
      </c>
      <c r="I31" s="62">
        <v>0.5</v>
      </c>
      <c r="L31" s="35"/>
      <c r="M31" s="6"/>
    </row>
    <row r="32" spans="1:13" s="7" customFormat="1">
      <c r="A32" s="109" t="s">
        <v>270</v>
      </c>
      <c r="B32" s="110" t="s">
        <v>271</v>
      </c>
      <c r="C32" s="111">
        <v>2</v>
      </c>
      <c r="D32" s="112">
        <v>41455</v>
      </c>
      <c r="E32" s="115" t="s">
        <v>27</v>
      </c>
      <c r="F32" s="113">
        <v>851.99</v>
      </c>
      <c r="G32" s="113">
        <v>985.87</v>
      </c>
      <c r="H32" s="113">
        <v>243425</v>
      </c>
      <c r="I32" s="114">
        <v>0.5</v>
      </c>
      <c r="L32" s="35"/>
      <c r="M32" s="6"/>
    </row>
    <row r="33" spans="1:13" s="7" customFormat="1">
      <c r="A33" s="77" t="s">
        <v>270</v>
      </c>
      <c r="B33" s="78" t="s">
        <v>272</v>
      </c>
      <c r="C33" s="39">
        <v>23</v>
      </c>
      <c r="D33" s="9">
        <v>41455</v>
      </c>
      <c r="E33" s="12" t="s">
        <v>27</v>
      </c>
      <c r="F33" s="10">
        <v>2116.98</v>
      </c>
      <c r="G33" s="10">
        <v>2298.4299999999998</v>
      </c>
      <c r="H33" s="10">
        <v>604850</v>
      </c>
      <c r="I33" s="34">
        <v>1</v>
      </c>
      <c r="L33" s="35"/>
      <c r="M33" s="6"/>
    </row>
    <row r="34" spans="1:13" s="7" customFormat="1">
      <c r="A34" s="15" t="s">
        <v>270</v>
      </c>
      <c r="B34" s="25" t="s">
        <v>271</v>
      </c>
      <c r="C34" s="42">
        <v>25</v>
      </c>
      <c r="D34" s="9">
        <v>41455</v>
      </c>
      <c r="E34" s="12" t="s">
        <v>27</v>
      </c>
      <c r="F34" s="10">
        <v>1311.45</v>
      </c>
      <c r="G34" s="10">
        <v>1517.54</v>
      </c>
      <c r="H34" s="10">
        <v>374700</v>
      </c>
      <c r="I34" s="62">
        <v>1</v>
      </c>
      <c r="L34" s="35"/>
      <c r="M34" s="6"/>
    </row>
    <row r="35" spans="1:13" s="7" customFormat="1">
      <c r="A35" s="15" t="s">
        <v>270</v>
      </c>
      <c r="B35" s="25" t="s">
        <v>273</v>
      </c>
      <c r="C35" s="42">
        <v>35</v>
      </c>
      <c r="D35" s="9">
        <v>41455</v>
      </c>
      <c r="E35" s="12" t="s">
        <v>27</v>
      </c>
      <c r="F35" s="10">
        <v>1304.6400000000001</v>
      </c>
      <c r="G35" s="10">
        <v>693.32</v>
      </c>
      <c r="H35" s="10">
        <v>372753.5</v>
      </c>
      <c r="I35" s="62">
        <v>1</v>
      </c>
      <c r="L35" s="35"/>
      <c r="M35" s="6"/>
    </row>
    <row r="36" spans="1:13" s="7" customFormat="1">
      <c r="A36" s="15" t="s">
        <v>270</v>
      </c>
      <c r="B36" s="25" t="s">
        <v>271</v>
      </c>
      <c r="C36" s="42">
        <v>36</v>
      </c>
      <c r="D36" s="9">
        <v>41455</v>
      </c>
      <c r="E36" s="12" t="s">
        <v>27</v>
      </c>
      <c r="F36" s="10">
        <v>1723.15</v>
      </c>
      <c r="G36" s="10">
        <v>1993.93</v>
      </c>
      <c r="H36" s="10">
        <v>492329</v>
      </c>
      <c r="I36" s="62">
        <v>1</v>
      </c>
    </row>
    <row r="37" spans="1:13" s="7" customFormat="1">
      <c r="A37" s="77" t="s">
        <v>270</v>
      </c>
      <c r="B37" s="78" t="s">
        <v>271</v>
      </c>
      <c r="C37" s="39">
        <v>46</v>
      </c>
      <c r="D37" s="9">
        <v>41455</v>
      </c>
      <c r="E37" s="12" t="s">
        <v>27</v>
      </c>
      <c r="F37" s="10">
        <v>1507.45</v>
      </c>
      <c r="G37" s="10">
        <v>1744.34</v>
      </c>
      <c r="H37" s="10">
        <v>430700</v>
      </c>
      <c r="I37" s="34">
        <v>1</v>
      </c>
    </row>
    <row r="38" spans="1:13" s="7" customFormat="1">
      <c r="A38" s="77" t="s">
        <v>270</v>
      </c>
      <c r="B38" s="78" t="s">
        <v>273</v>
      </c>
      <c r="C38" s="39">
        <v>51</v>
      </c>
      <c r="D38" s="9">
        <v>41455</v>
      </c>
      <c r="E38" s="12" t="s">
        <v>27</v>
      </c>
      <c r="F38" s="10">
        <v>1344.05</v>
      </c>
      <c r="G38" s="10">
        <v>1059.8800000000001</v>
      </c>
      <c r="H38" s="10">
        <v>384015</v>
      </c>
      <c r="I38" s="34">
        <v>1</v>
      </c>
    </row>
    <row r="39" spans="1:13" s="7" customFormat="1">
      <c r="A39" s="77" t="s">
        <v>270</v>
      </c>
      <c r="B39" s="78" t="s">
        <v>271</v>
      </c>
      <c r="C39" s="39">
        <v>77</v>
      </c>
      <c r="D39" s="9">
        <v>41451</v>
      </c>
      <c r="E39" s="12" t="s">
        <v>27</v>
      </c>
      <c r="F39" s="10">
        <v>1857.89</v>
      </c>
      <c r="G39" s="10">
        <v>2149.84</v>
      </c>
      <c r="H39" s="10">
        <v>530824.75</v>
      </c>
      <c r="I39" s="34">
        <v>1</v>
      </c>
    </row>
    <row r="40" spans="1:13" s="7" customFormat="1">
      <c r="A40" s="15" t="s">
        <v>116</v>
      </c>
      <c r="B40" s="25" t="s">
        <v>136</v>
      </c>
      <c r="C40" s="39">
        <v>135</v>
      </c>
      <c r="D40" s="9">
        <v>41436</v>
      </c>
      <c r="E40" s="25" t="s">
        <v>33</v>
      </c>
      <c r="F40" s="105">
        <v>1243.29</v>
      </c>
      <c r="G40" s="105">
        <v>0</v>
      </c>
      <c r="H40" s="105">
        <v>248657.21</v>
      </c>
      <c r="I40" s="25">
        <v>1</v>
      </c>
    </row>
    <row r="41" spans="1:13" s="7" customFormat="1">
      <c r="A41" s="15" t="s">
        <v>145</v>
      </c>
      <c r="B41" s="25" t="s">
        <v>85</v>
      </c>
      <c r="C41" s="39">
        <v>1316</v>
      </c>
      <c r="D41" s="9">
        <v>41441</v>
      </c>
      <c r="E41" s="25" t="s">
        <v>33</v>
      </c>
      <c r="F41" s="105">
        <v>985.3</v>
      </c>
      <c r="G41" s="105">
        <v>1093.69</v>
      </c>
      <c r="H41" s="105">
        <v>394120.81</v>
      </c>
      <c r="I41" s="25">
        <v>1</v>
      </c>
    </row>
    <row r="42" spans="1:13" s="7" customFormat="1">
      <c r="A42" s="15" t="s">
        <v>138</v>
      </c>
      <c r="B42" s="25" t="s">
        <v>249</v>
      </c>
      <c r="C42" s="39">
        <v>75</v>
      </c>
      <c r="D42" s="9">
        <v>41442</v>
      </c>
      <c r="E42" s="25" t="s">
        <v>33</v>
      </c>
      <c r="F42" s="106">
        <v>741.1</v>
      </c>
      <c r="G42" s="106">
        <v>0</v>
      </c>
      <c r="H42" s="106">
        <v>185276</v>
      </c>
      <c r="I42" s="62">
        <v>1</v>
      </c>
    </row>
    <row r="43" spans="1:13" s="7" customFormat="1">
      <c r="A43" s="109" t="s">
        <v>270</v>
      </c>
      <c r="B43" s="110" t="s">
        <v>271</v>
      </c>
      <c r="C43" s="111">
        <v>87</v>
      </c>
      <c r="D43" s="115">
        <v>41451</v>
      </c>
      <c r="E43" s="110" t="s">
        <v>33</v>
      </c>
      <c r="F43" s="113">
        <v>655.29</v>
      </c>
      <c r="G43" s="113">
        <v>1061.57</v>
      </c>
      <c r="H43" s="113">
        <v>262115.65</v>
      </c>
      <c r="I43" s="114">
        <v>0.5</v>
      </c>
    </row>
    <row r="44" spans="1:13" s="7" customFormat="1">
      <c r="A44" s="109" t="s">
        <v>270</v>
      </c>
      <c r="B44" s="110" t="s">
        <v>273</v>
      </c>
      <c r="C44" s="116">
        <v>13</v>
      </c>
      <c r="D44" s="112">
        <v>41452</v>
      </c>
      <c r="E44" s="110" t="s">
        <v>33</v>
      </c>
      <c r="F44" s="113">
        <v>557.29</v>
      </c>
      <c r="G44" s="113">
        <v>902.8</v>
      </c>
      <c r="H44" s="113">
        <v>222914.63</v>
      </c>
      <c r="I44" s="117">
        <v>0.5</v>
      </c>
    </row>
    <row r="45" spans="1:13" s="7" customFormat="1">
      <c r="A45" s="15" t="s">
        <v>270</v>
      </c>
      <c r="B45" s="25" t="s">
        <v>271</v>
      </c>
      <c r="C45" s="39">
        <v>84</v>
      </c>
      <c r="D45" s="9">
        <v>41455</v>
      </c>
      <c r="E45" s="25" t="s">
        <v>33</v>
      </c>
      <c r="F45" s="10">
        <v>1006.25</v>
      </c>
      <c r="G45" s="10">
        <v>815.06</v>
      </c>
      <c r="H45" s="10">
        <v>402500</v>
      </c>
      <c r="I45" s="34">
        <v>1</v>
      </c>
    </row>
    <row r="46" spans="1:13" s="7" customFormat="1">
      <c r="A46" s="15" t="s">
        <v>270</v>
      </c>
      <c r="B46" s="25" t="s">
        <v>271</v>
      </c>
      <c r="C46" s="39">
        <v>65</v>
      </c>
      <c r="D46" s="9">
        <v>41451</v>
      </c>
      <c r="E46" s="25" t="s">
        <v>33</v>
      </c>
      <c r="F46" s="10">
        <v>1004.28</v>
      </c>
      <c r="G46" s="10">
        <v>813.47</v>
      </c>
      <c r="H46" s="10">
        <v>401713.27</v>
      </c>
      <c r="I46" s="34">
        <v>1</v>
      </c>
    </row>
    <row r="47" spans="1:13" s="7" customFormat="1">
      <c r="A47" s="15" t="s">
        <v>270</v>
      </c>
      <c r="B47" s="25" t="s">
        <v>273</v>
      </c>
      <c r="C47" s="39">
        <v>57</v>
      </c>
      <c r="D47" s="12">
        <v>41450</v>
      </c>
      <c r="E47" s="25" t="s">
        <v>33</v>
      </c>
      <c r="F47" s="10">
        <v>1251.32</v>
      </c>
      <c r="G47" s="10">
        <v>1013.57</v>
      </c>
      <c r="H47" s="10">
        <v>500528.43</v>
      </c>
      <c r="I47" s="34">
        <v>1</v>
      </c>
    </row>
    <row r="48" spans="1:13" s="7" customFormat="1">
      <c r="A48" s="15" t="s">
        <v>270</v>
      </c>
      <c r="B48" s="25" t="s">
        <v>271</v>
      </c>
      <c r="C48" s="39">
        <v>54</v>
      </c>
      <c r="D48" s="9">
        <v>41452</v>
      </c>
      <c r="E48" s="25" t="s">
        <v>33</v>
      </c>
      <c r="F48" s="10">
        <v>984.07</v>
      </c>
      <c r="G48" s="10">
        <v>797.1</v>
      </c>
      <c r="H48" s="10">
        <v>393628.07</v>
      </c>
      <c r="I48" s="62">
        <v>1</v>
      </c>
    </row>
    <row r="49" spans="1:13" s="7" customFormat="1">
      <c r="A49" s="15" t="s">
        <v>270</v>
      </c>
      <c r="B49" s="25" t="s">
        <v>273</v>
      </c>
      <c r="C49" s="39">
        <v>46</v>
      </c>
      <c r="D49" s="9">
        <v>41450</v>
      </c>
      <c r="E49" s="25" t="s">
        <v>33</v>
      </c>
      <c r="F49" s="10">
        <v>1216.18</v>
      </c>
      <c r="G49" s="10">
        <v>985.11</v>
      </c>
      <c r="H49" s="10">
        <v>486471.79</v>
      </c>
      <c r="I49" s="34">
        <v>1</v>
      </c>
    </row>
    <row r="50" spans="1:13" s="7" customFormat="1">
      <c r="A50" s="15" t="s">
        <v>270</v>
      </c>
      <c r="B50" s="25" t="s">
        <v>278</v>
      </c>
      <c r="C50" s="39">
        <v>83</v>
      </c>
      <c r="D50" s="9">
        <v>41451</v>
      </c>
      <c r="E50" s="25" t="s">
        <v>33</v>
      </c>
      <c r="F50" s="10">
        <v>1673.22</v>
      </c>
      <c r="G50" s="10">
        <v>853.34</v>
      </c>
      <c r="H50" s="10">
        <v>669289.18000000005</v>
      </c>
      <c r="I50" s="34">
        <v>1</v>
      </c>
    </row>
    <row r="51" spans="1:13" s="7" customFormat="1">
      <c r="A51" s="15" t="s">
        <v>145</v>
      </c>
      <c r="B51" s="25" t="s">
        <v>85</v>
      </c>
      <c r="C51" s="39">
        <v>1716</v>
      </c>
      <c r="D51" s="9">
        <v>41453</v>
      </c>
      <c r="E51" s="25" t="s">
        <v>33</v>
      </c>
      <c r="F51" s="10">
        <v>1012.93</v>
      </c>
      <c r="G51" s="10">
        <v>1124.3499999999999</v>
      </c>
      <c r="H51" s="10">
        <v>405170.97</v>
      </c>
      <c r="I51" s="34">
        <v>1</v>
      </c>
    </row>
    <row r="52" spans="1:13" s="7" customFormat="1">
      <c r="A52" s="15" t="s">
        <v>299</v>
      </c>
      <c r="B52" s="25" t="s">
        <v>85</v>
      </c>
      <c r="C52" s="39">
        <v>203</v>
      </c>
      <c r="D52" s="9">
        <v>41455</v>
      </c>
      <c r="E52" s="25" t="s">
        <v>33</v>
      </c>
      <c r="F52" s="10">
        <v>1858.5</v>
      </c>
      <c r="G52" s="10">
        <v>0</v>
      </c>
      <c r="H52" s="10">
        <v>371700</v>
      </c>
      <c r="I52" s="34">
        <v>1</v>
      </c>
    </row>
    <row r="53" spans="1:13" s="7" customFormat="1">
      <c r="A53" s="15" t="s">
        <v>138</v>
      </c>
      <c r="B53" s="25" t="s">
        <v>300</v>
      </c>
      <c r="C53" s="39">
        <v>35</v>
      </c>
      <c r="D53" s="9">
        <v>41453</v>
      </c>
      <c r="E53" s="25" t="s">
        <v>33</v>
      </c>
      <c r="F53" s="10">
        <v>889.33</v>
      </c>
      <c r="G53" s="10">
        <v>0</v>
      </c>
      <c r="H53" s="10">
        <v>222333.29</v>
      </c>
      <c r="I53" s="34">
        <v>1</v>
      </c>
    </row>
    <row r="54" spans="1:13" s="7" customFormat="1">
      <c r="A54" s="15" t="s">
        <v>116</v>
      </c>
      <c r="B54" s="25" t="s">
        <v>117</v>
      </c>
      <c r="C54" s="25">
        <v>105</v>
      </c>
      <c r="D54" s="98">
        <v>41437</v>
      </c>
      <c r="E54" s="25" t="s">
        <v>25</v>
      </c>
      <c r="F54" s="105">
        <f>H54*0.4%</f>
        <v>968.56407999999999</v>
      </c>
      <c r="G54" s="105">
        <f>1629.6-F54</f>
        <v>661.03591999999992</v>
      </c>
      <c r="H54" s="105">
        <v>242141.02</v>
      </c>
      <c r="I54" s="25">
        <v>1</v>
      </c>
    </row>
    <row r="55" spans="1:13" s="7" customFormat="1">
      <c r="A55" s="15" t="s">
        <v>146</v>
      </c>
      <c r="B55" s="25" t="s">
        <v>85</v>
      </c>
      <c r="C55" s="25">
        <v>1202</v>
      </c>
      <c r="D55" s="98">
        <v>41441</v>
      </c>
      <c r="E55" s="25" t="s">
        <v>25</v>
      </c>
      <c r="F55" s="105">
        <v>1244.97</v>
      </c>
      <c r="G55" s="105">
        <v>1727.39</v>
      </c>
      <c r="H55" s="105">
        <v>311241.55</v>
      </c>
      <c r="I55" s="25">
        <v>1</v>
      </c>
    </row>
    <row r="56" spans="1:13" s="7" customFormat="1">
      <c r="A56" s="15" t="s">
        <v>145</v>
      </c>
      <c r="B56" s="25" t="s">
        <v>85</v>
      </c>
      <c r="C56" s="39">
        <v>2408</v>
      </c>
      <c r="D56" s="98">
        <v>41445</v>
      </c>
      <c r="E56" s="25" t="s">
        <v>25</v>
      </c>
      <c r="F56" s="105">
        <v>967.2</v>
      </c>
      <c r="G56" s="105">
        <v>0</v>
      </c>
      <c r="H56" s="105">
        <v>241800</v>
      </c>
      <c r="I56" s="25">
        <v>0.5</v>
      </c>
    </row>
    <row r="57" spans="1:13" s="7" customFormat="1">
      <c r="A57" s="15" t="s">
        <v>146</v>
      </c>
      <c r="B57" s="25" t="s">
        <v>85</v>
      </c>
      <c r="C57" s="25">
        <v>409</v>
      </c>
      <c r="D57" s="98">
        <v>41445</v>
      </c>
      <c r="E57" s="25" t="s">
        <v>25</v>
      </c>
      <c r="F57" s="105">
        <v>892.8</v>
      </c>
      <c r="G57" s="105">
        <v>0</v>
      </c>
      <c r="H57" s="105">
        <v>223200</v>
      </c>
      <c r="I57" s="25">
        <v>0.5</v>
      </c>
    </row>
    <row r="58" spans="1:13" s="7" customFormat="1">
      <c r="A58" s="109" t="s">
        <v>270</v>
      </c>
      <c r="B58" s="110" t="s">
        <v>201</v>
      </c>
      <c r="C58" s="116" t="s">
        <v>294</v>
      </c>
      <c r="D58" s="112">
        <v>41451</v>
      </c>
      <c r="E58" s="110" t="s">
        <v>25</v>
      </c>
      <c r="F58" s="113">
        <v>54.24</v>
      </c>
      <c r="G58" s="113">
        <v>0</v>
      </c>
      <c r="H58" s="113">
        <v>13558.87</v>
      </c>
      <c r="I58" s="117">
        <v>0.5</v>
      </c>
      <c r="K58"/>
      <c r="L58"/>
      <c r="M58"/>
    </row>
    <row r="59" spans="1:13" s="7" customFormat="1">
      <c r="A59" s="109" t="s">
        <v>270</v>
      </c>
      <c r="B59" s="110" t="s">
        <v>273</v>
      </c>
      <c r="C59" s="111">
        <v>37</v>
      </c>
      <c r="D59" s="112">
        <v>41451</v>
      </c>
      <c r="E59" s="110" t="s">
        <v>25</v>
      </c>
      <c r="F59" s="113">
        <v>929.06</v>
      </c>
      <c r="G59" s="113">
        <v>940.67</v>
      </c>
      <c r="H59" s="113">
        <v>232264.44</v>
      </c>
      <c r="I59" s="117">
        <v>0.5</v>
      </c>
      <c r="K59"/>
      <c r="L59"/>
      <c r="M59"/>
    </row>
    <row r="60" spans="1:13" s="7" customFormat="1">
      <c r="A60" s="15" t="s">
        <v>270</v>
      </c>
      <c r="B60" s="25" t="s">
        <v>271</v>
      </c>
      <c r="C60" s="39">
        <v>74</v>
      </c>
      <c r="D60" s="9">
        <v>41451</v>
      </c>
      <c r="E60" s="25" t="s">
        <v>25</v>
      </c>
      <c r="F60" s="10">
        <v>1612.82</v>
      </c>
      <c r="G60" s="10">
        <v>1632.98</v>
      </c>
      <c r="H60" s="10">
        <v>403204.43</v>
      </c>
      <c r="I60" s="34">
        <v>1</v>
      </c>
      <c r="K60"/>
      <c r="L60"/>
      <c r="M60"/>
    </row>
    <row r="61" spans="1:13" s="7" customFormat="1">
      <c r="A61" s="15" t="s">
        <v>270</v>
      </c>
      <c r="B61" s="25" t="s">
        <v>272</v>
      </c>
      <c r="C61" s="39">
        <v>64</v>
      </c>
      <c r="D61" s="9">
        <v>41450</v>
      </c>
      <c r="E61" s="25" t="s">
        <v>25</v>
      </c>
      <c r="F61" s="100">
        <v>2664.88</v>
      </c>
      <c r="G61" s="10">
        <v>2698.19</v>
      </c>
      <c r="H61" s="10">
        <v>666220.05000000005</v>
      </c>
      <c r="I61" s="34">
        <v>1</v>
      </c>
      <c r="K61"/>
      <c r="L61"/>
      <c r="M61"/>
    </row>
    <row r="62" spans="1:13" s="7" customFormat="1">
      <c r="A62" s="15" t="s">
        <v>270</v>
      </c>
      <c r="B62" s="25" t="s">
        <v>273</v>
      </c>
      <c r="C62" s="39">
        <v>58</v>
      </c>
      <c r="D62" s="9">
        <v>41452</v>
      </c>
      <c r="E62" s="25" t="s">
        <v>25</v>
      </c>
      <c r="F62" s="10">
        <v>1525.89</v>
      </c>
      <c r="G62" s="10">
        <v>1544.97</v>
      </c>
      <c r="H62" s="10">
        <v>381473</v>
      </c>
      <c r="I62" s="34">
        <v>1</v>
      </c>
      <c r="K62"/>
      <c r="L62"/>
      <c r="M62"/>
    </row>
    <row r="63" spans="1:13">
      <c r="A63" s="15" t="s">
        <v>270</v>
      </c>
      <c r="B63" s="25" t="s">
        <v>201</v>
      </c>
      <c r="C63" s="42" t="s">
        <v>303</v>
      </c>
      <c r="D63" s="9">
        <v>41451</v>
      </c>
      <c r="E63" s="25" t="s">
        <v>25</v>
      </c>
      <c r="F63" s="10">
        <v>120</v>
      </c>
      <c r="G63" s="10">
        <v>0</v>
      </c>
      <c r="H63" s="10">
        <v>30000</v>
      </c>
      <c r="I63" s="62">
        <v>1</v>
      </c>
    </row>
    <row r="64" spans="1:13">
      <c r="A64" s="15" t="s">
        <v>270</v>
      </c>
      <c r="B64" s="25" t="s">
        <v>271</v>
      </c>
      <c r="C64" s="39">
        <v>83</v>
      </c>
      <c r="D64" s="9">
        <v>41451</v>
      </c>
      <c r="E64" s="25" t="s">
        <v>25</v>
      </c>
      <c r="F64" s="10">
        <v>2099.0500000000002</v>
      </c>
      <c r="G64" s="10">
        <v>2125.29</v>
      </c>
      <c r="H64" s="10">
        <v>524761.81000000006</v>
      </c>
      <c r="I64" s="62">
        <v>1</v>
      </c>
    </row>
    <row r="65" spans="1:13">
      <c r="A65" s="15" t="s">
        <v>270</v>
      </c>
      <c r="B65" s="25" t="s">
        <v>272</v>
      </c>
      <c r="C65" s="39">
        <v>33</v>
      </c>
      <c r="D65" s="9">
        <v>41453</v>
      </c>
      <c r="E65" s="25" t="s">
        <v>25</v>
      </c>
      <c r="F65" s="10">
        <v>2363.09</v>
      </c>
      <c r="G65" s="10">
        <v>2392.63</v>
      </c>
      <c r="H65" s="10">
        <v>590773.03</v>
      </c>
      <c r="I65" s="62">
        <v>1</v>
      </c>
    </row>
    <row r="66" spans="1:13">
      <c r="A66" s="15" t="s">
        <v>270</v>
      </c>
      <c r="B66" s="25" t="s">
        <v>273</v>
      </c>
      <c r="C66" s="39">
        <v>82</v>
      </c>
      <c r="D66" s="9">
        <v>41451</v>
      </c>
      <c r="E66" s="25" t="s">
        <v>25</v>
      </c>
      <c r="F66" s="10">
        <v>1968.13</v>
      </c>
      <c r="G66" s="10">
        <v>1992.73</v>
      </c>
      <c r="H66" s="10">
        <v>492032</v>
      </c>
      <c r="I66" s="34">
        <v>1</v>
      </c>
    </row>
    <row r="67" spans="1:13">
      <c r="A67" s="15" t="s">
        <v>270</v>
      </c>
      <c r="B67" s="25" t="s">
        <v>273</v>
      </c>
      <c r="C67" s="39">
        <v>62</v>
      </c>
      <c r="D67" s="9">
        <v>41451</v>
      </c>
      <c r="E67" s="25" t="s">
        <v>25</v>
      </c>
      <c r="F67" s="10">
        <v>2253.79</v>
      </c>
      <c r="G67" s="10">
        <v>0</v>
      </c>
      <c r="H67" s="10">
        <v>643938.86</v>
      </c>
      <c r="I67" s="34">
        <v>1</v>
      </c>
    </row>
    <row r="68" spans="1:13">
      <c r="A68" s="15" t="s">
        <v>270</v>
      </c>
      <c r="B68" s="25" t="s">
        <v>278</v>
      </c>
      <c r="C68" s="39">
        <v>34</v>
      </c>
      <c r="D68" s="9">
        <v>41455</v>
      </c>
      <c r="E68" s="25" t="s">
        <v>25</v>
      </c>
      <c r="F68" s="10">
        <v>2535.66</v>
      </c>
      <c r="G68" s="10">
        <v>2567.36</v>
      </c>
      <c r="H68" s="10">
        <v>633914.91</v>
      </c>
      <c r="I68" s="34">
        <v>1</v>
      </c>
    </row>
    <row r="69" spans="1:13">
      <c r="A69" s="15" t="s">
        <v>270</v>
      </c>
      <c r="B69" s="25" t="s">
        <v>271</v>
      </c>
      <c r="C69" s="39">
        <v>76</v>
      </c>
      <c r="D69" s="9">
        <v>41451</v>
      </c>
      <c r="E69" s="25" t="s">
        <v>25</v>
      </c>
      <c r="F69" s="10">
        <v>2035.76</v>
      </c>
      <c r="G69" s="10">
        <v>0</v>
      </c>
      <c r="H69" s="10">
        <v>508939.15</v>
      </c>
      <c r="I69" s="62">
        <v>1</v>
      </c>
    </row>
    <row r="70" spans="1:13">
      <c r="A70" s="15" t="s">
        <v>270</v>
      </c>
      <c r="B70" s="25" t="s">
        <v>271</v>
      </c>
      <c r="C70" s="42">
        <v>56</v>
      </c>
      <c r="D70" s="9">
        <v>41451</v>
      </c>
      <c r="E70" s="25" t="s">
        <v>25</v>
      </c>
      <c r="F70" s="10">
        <v>2031.81</v>
      </c>
      <c r="G70" s="10">
        <v>0</v>
      </c>
      <c r="H70" s="10">
        <v>507951.47</v>
      </c>
      <c r="I70" s="62">
        <v>1</v>
      </c>
    </row>
    <row r="71" spans="1:13">
      <c r="A71" s="15" t="s">
        <v>145</v>
      </c>
      <c r="B71" s="25" t="s">
        <v>85</v>
      </c>
      <c r="C71" s="39">
        <v>1201</v>
      </c>
      <c r="D71" s="9">
        <v>41441</v>
      </c>
      <c r="E71" s="25" t="s">
        <v>26</v>
      </c>
      <c r="F71" s="105">
        <v>1271.26</v>
      </c>
      <c r="G71" s="105">
        <v>2015.86</v>
      </c>
      <c r="H71" s="105">
        <v>363218.23</v>
      </c>
      <c r="I71" s="25">
        <v>1</v>
      </c>
    </row>
    <row r="72" spans="1:13">
      <c r="A72" s="15" t="s">
        <v>145</v>
      </c>
      <c r="B72" s="25" t="s">
        <v>85</v>
      </c>
      <c r="C72" s="39">
        <v>509</v>
      </c>
      <c r="D72" s="98">
        <v>41441</v>
      </c>
      <c r="E72" s="25" t="s">
        <v>26</v>
      </c>
      <c r="F72" s="105">
        <v>1660.92</v>
      </c>
      <c r="G72" s="105">
        <v>2633.74</v>
      </c>
      <c r="H72" s="105">
        <v>474548.59</v>
      </c>
      <c r="I72" s="25">
        <v>1</v>
      </c>
      <c r="K72" s="7"/>
      <c r="L72" s="7"/>
      <c r="M72" s="7"/>
    </row>
    <row r="73" spans="1:13">
      <c r="A73" s="15" t="s">
        <v>145</v>
      </c>
      <c r="B73" s="25" t="s">
        <v>85</v>
      </c>
      <c r="C73" s="39">
        <v>409</v>
      </c>
      <c r="D73" s="98">
        <v>41445</v>
      </c>
      <c r="E73" s="25" t="s">
        <v>26</v>
      </c>
      <c r="F73" s="105">
        <v>781.2</v>
      </c>
      <c r="G73" s="105">
        <v>0</v>
      </c>
      <c r="H73" s="105">
        <v>223200</v>
      </c>
      <c r="I73" s="25">
        <v>0.5</v>
      </c>
    </row>
    <row r="74" spans="1:13">
      <c r="A74" s="15" t="s">
        <v>145</v>
      </c>
      <c r="B74" s="25" t="s">
        <v>85</v>
      </c>
      <c r="C74" s="39">
        <v>2408</v>
      </c>
      <c r="D74" s="98">
        <v>41445</v>
      </c>
      <c r="E74" s="25" t="s">
        <v>26</v>
      </c>
      <c r="F74" s="105">
        <v>846.3</v>
      </c>
      <c r="G74" s="105">
        <v>0</v>
      </c>
      <c r="H74" s="105">
        <v>241800</v>
      </c>
      <c r="I74" s="25">
        <v>0.5</v>
      </c>
    </row>
    <row r="75" spans="1:13">
      <c r="A75" s="11" t="s">
        <v>57</v>
      </c>
      <c r="B75" s="25" t="s">
        <v>254</v>
      </c>
      <c r="C75" s="25">
        <v>196</v>
      </c>
      <c r="D75" s="98">
        <v>41439</v>
      </c>
      <c r="E75" s="25" t="s">
        <v>26</v>
      </c>
      <c r="F75" s="105">
        <v>1167.3</v>
      </c>
      <c r="G75" s="105">
        <v>0</v>
      </c>
      <c r="H75" s="105">
        <v>333514.5</v>
      </c>
      <c r="I75" s="25">
        <v>1</v>
      </c>
    </row>
    <row r="76" spans="1:13" s="7" customFormat="1">
      <c r="A76" s="11" t="s">
        <v>269</v>
      </c>
      <c r="B76" s="25" t="s">
        <v>85</v>
      </c>
      <c r="C76" s="25">
        <v>151</v>
      </c>
      <c r="D76" s="98">
        <v>41439</v>
      </c>
      <c r="E76" s="25" t="s">
        <v>26</v>
      </c>
      <c r="F76" s="105">
        <f>H76*0.35%</f>
        <v>1988.8749999999998</v>
      </c>
      <c r="G76" s="105">
        <v>0</v>
      </c>
      <c r="H76" s="105">
        <v>568250</v>
      </c>
      <c r="I76" s="25">
        <v>0.25</v>
      </c>
      <c r="K76"/>
      <c r="L76"/>
      <c r="M76"/>
    </row>
    <row r="77" spans="1:13">
      <c r="A77" s="11" t="s">
        <v>269</v>
      </c>
      <c r="B77" s="25" t="s">
        <v>82</v>
      </c>
      <c r="C77" s="25">
        <v>131</v>
      </c>
      <c r="D77" s="98">
        <v>41452</v>
      </c>
      <c r="E77" s="25" t="s">
        <v>26</v>
      </c>
      <c r="F77" s="105">
        <f>H77*0.35%</f>
        <v>8049.9999999999991</v>
      </c>
      <c r="G77" s="105">
        <f>20815-F77</f>
        <v>12765</v>
      </c>
      <c r="H77" s="105">
        <v>2300000</v>
      </c>
      <c r="I77" s="25">
        <v>1</v>
      </c>
    </row>
    <row r="78" spans="1:13">
      <c r="A78" s="15" t="s">
        <v>270</v>
      </c>
      <c r="B78" s="25" t="s">
        <v>271</v>
      </c>
      <c r="C78" s="39">
        <v>14</v>
      </c>
      <c r="D78" s="12">
        <v>41451</v>
      </c>
      <c r="E78" s="25" t="s">
        <v>26</v>
      </c>
      <c r="F78" s="10">
        <v>1357.75</v>
      </c>
      <c r="G78" s="10">
        <v>1571.11</v>
      </c>
      <c r="H78" s="10">
        <v>387928.72</v>
      </c>
      <c r="I78" s="34">
        <v>1</v>
      </c>
    </row>
    <row r="79" spans="1:13">
      <c r="A79" s="15" t="s">
        <v>270</v>
      </c>
      <c r="B79" s="25" t="s">
        <v>273</v>
      </c>
      <c r="C79" s="39">
        <v>42</v>
      </c>
      <c r="D79" s="12">
        <v>41452</v>
      </c>
      <c r="E79" s="25" t="s">
        <v>26</v>
      </c>
      <c r="F79" s="10">
        <v>1542.59</v>
      </c>
      <c r="G79" s="10">
        <v>1785</v>
      </c>
      <c r="H79" s="10">
        <v>440740.51</v>
      </c>
      <c r="I79" s="34">
        <v>1</v>
      </c>
      <c r="K79" s="7"/>
      <c r="L79" s="7"/>
      <c r="M79" s="7"/>
    </row>
    <row r="80" spans="1:13">
      <c r="A80" s="15" t="s">
        <v>270</v>
      </c>
      <c r="B80" s="25" t="s">
        <v>273</v>
      </c>
      <c r="C80" s="39">
        <v>66</v>
      </c>
      <c r="D80" s="12">
        <v>41451</v>
      </c>
      <c r="E80" s="25" t="s">
        <v>26</v>
      </c>
      <c r="F80" s="10">
        <v>1523.4</v>
      </c>
      <c r="G80" s="10">
        <v>1762.79</v>
      </c>
      <c r="H80" s="10">
        <v>435257.82</v>
      </c>
      <c r="I80" s="34">
        <v>1</v>
      </c>
      <c r="K80" s="7"/>
      <c r="L80" s="7"/>
      <c r="M80" s="7"/>
    </row>
    <row r="81" spans="1:13">
      <c r="A81" s="15" t="s">
        <v>270</v>
      </c>
      <c r="B81" s="25" t="s">
        <v>273</v>
      </c>
      <c r="C81" s="39">
        <v>72</v>
      </c>
      <c r="D81" s="12">
        <v>41455</v>
      </c>
      <c r="E81" s="25" t="s">
        <v>26</v>
      </c>
      <c r="F81" s="10">
        <v>1657.49</v>
      </c>
      <c r="G81" s="10">
        <v>1917.95</v>
      </c>
      <c r="H81" s="10">
        <v>473568.86</v>
      </c>
      <c r="I81" s="34">
        <v>1</v>
      </c>
    </row>
    <row r="82" spans="1:13">
      <c r="A82" s="15" t="s">
        <v>270</v>
      </c>
      <c r="B82" s="25" t="s">
        <v>273</v>
      </c>
      <c r="C82" s="39">
        <v>75</v>
      </c>
      <c r="D82" s="12">
        <v>41451</v>
      </c>
      <c r="E82" s="25" t="s">
        <v>26</v>
      </c>
      <c r="F82" s="10">
        <v>1330.6</v>
      </c>
      <c r="G82" s="10">
        <v>1539.7</v>
      </c>
      <c r="H82" s="10">
        <v>380172.25</v>
      </c>
      <c r="I82" s="34">
        <v>1</v>
      </c>
    </row>
    <row r="83" spans="1:13">
      <c r="A83" s="15" t="s">
        <v>270</v>
      </c>
      <c r="B83" s="25" t="s">
        <v>273</v>
      </c>
      <c r="C83" s="39">
        <v>76</v>
      </c>
      <c r="D83" s="12">
        <v>41451</v>
      </c>
      <c r="E83" s="25" t="s">
        <v>26</v>
      </c>
      <c r="F83" s="10">
        <v>1734.8</v>
      </c>
      <c r="G83" s="10">
        <v>2007.41</v>
      </c>
      <c r="H83" s="10">
        <v>495656.89</v>
      </c>
      <c r="I83" s="34">
        <v>1</v>
      </c>
      <c r="K83" s="7"/>
      <c r="L83" s="7"/>
      <c r="M83" s="7"/>
    </row>
    <row r="84" spans="1:13" s="7" customFormat="1">
      <c r="A84" s="15" t="s">
        <v>270</v>
      </c>
      <c r="B84" s="25" t="s">
        <v>273</v>
      </c>
      <c r="C84" s="39">
        <v>82</v>
      </c>
      <c r="D84" s="12">
        <v>41451</v>
      </c>
      <c r="E84" s="25" t="s">
        <v>26</v>
      </c>
      <c r="F84" s="10">
        <v>1727.25</v>
      </c>
      <c r="G84" s="10">
        <v>1495.31</v>
      </c>
      <c r="H84" s="10">
        <v>493500</v>
      </c>
      <c r="I84" s="34">
        <v>1</v>
      </c>
    </row>
    <row r="85" spans="1:13" s="7" customFormat="1">
      <c r="A85" s="15" t="s">
        <v>191</v>
      </c>
      <c r="B85" s="25" t="s">
        <v>117</v>
      </c>
      <c r="C85" s="39">
        <v>131</v>
      </c>
      <c r="D85" s="9">
        <v>41444</v>
      </c>
      <c r="E85" s="25" t="s">
        <v>24</v>
      </c>
      <c r="F85" s="105">
        <v>798</v>
      </c>
      <c r="G85" s="105">
        <v>0</v>
      </c>
      <c r="H85" s="105">
        <v>228000</v>
      </c>
      <c r="I85" s="25">
        <v>1</v>
      </c>
    </row>
    <row r="86" spans="1:13">
      <c r="A86" s="15" t="s">
        <v>265</v>
      </c>
      <c r="B86" s="25" t="s">
        <v>85</v>
      </c>
      <c r="C86" s="39">
        <v>211</v>
      </c>
      <c r="D86" s="9">
        <v>41446</v>
      </c>
      <c r="E86" s="25" t="s">
        <v>24</v>
      </c>
      <c r="F86" s="105">
        <v>7175</v>
      </c>
      <c r="G86" s="105">
        <v>0</v>
      </c>
      <c r="H86" s="105">
        <v>2050000</v>
      </c>
      <c r="I86" s="25">
        <v>1</v>
      </c>
      <c r="K86" s="7"/>
      <c r="L86" s="7"/>
      <c r="M86" s="7"/>
    </row>
    <row r="87" spans="1:13">
      <c r="A87" s="15" t="s">
        <v>208</v>
      </c>
      <c r="B87" s="25" t="s">
        <v>226</v>
      </c>
      <c r="C87" s="39">
        <v>163</v>
      </c>
      <c r="D87" s="9">
        <v>41448</v>
      </c>
      <c r="E87" s="25" t="s">
        <v>24</v>
      </c>
      <c r="F87" s="105">
        <v>846.44</v>
      </c>
      <c r="G87" s="105">
        <v>0</v>
      </c>
      <c r="H87" s="105">
        <v>241840</v>
      </c>
      <c r="I87" s="25">
        <v>1</v>
      </c>
      <c r="K87" s="7"/>
      <c r="L87" s="7"/>
      <c r="M87" s="7"/>
    </row>
    <row r="88" spans="1:13" s="7" customFormat="1">
      <c r="A88" s="15" t="s">
        <v>81</v>
      </c>
      <c r="B88" s="25" t="s">
        <v>85</v>
      </c>
      <c r="C88" s="39">
        <v>101</v>
      </c>
      <c r="D88" s="9">
        <v>41453</v>
      </c>
      <c r="E88" s="25" t="s">
        <v>24</v>
      </c>
      <c r="F88" s="10">
        <f>H88*0.35%</f>
        <v>1775.1299999999999</v>
      </c>
      <c r="G88" s="10">
        <f>3068.44-F88</f>
        <v>1293.3100000000002</v>
      </c>
      <c r="H88" s="10">
        <v>507180</v>
      </c>
      <c r="I88" s="62">
        <v>1</v>
      </c>
    </row>
    <row r="89" spans="1:13" s="7" customFormat="1">
      <c r="A89" s="15" t="s">
        <v>81</v>
      </c>
      <c r="B89" s="25" t="s">
        <v>85</v>
      </c>
      <c r="C89" s="39">
        <v>131</v>
      </c>
      <c r="D89" s="9">
        <v>41453</v>
      </c>
      <c r="E89" s="25" t="s">
        <v>24</v>
      </c>
      <c r="F89" s="10">
        <f>H89*0.35%</f>
        <v>1811.8134999999997</v>
      </c>
      <c r="G89" s="10">
        <f>3287.15-F89</f>
        <v>1475.3365000000003</v>
      </c>
      <c r="H89" s="10">
        <v>517661</v>
      </c>
      <c r="I89" s="62">
        <v>1</v>
      </c>
    </row>
    <row r="90" spans="1:13" s="7" customFormat="1">
      <c r="A90" s="11" t="s">
        <v>269</v>
      </c>
      <c r="B90" s="25" t="s">
        <v>85</v>
      </c>
      <c r="C90" s="25">
        <v>151</v>
      </c>
      <c r="D90" s="98">
        <v>41439</v>
      </c>
      <c r="E90" s="25" t="s">
        <v>24</v>
      </c>
      <c r="F90" s="105">
        <f>H90*0.35%</f>
        <v>1988.8749999999998</v>
      </c>
      <c r="G90" s="105">
        <v>0</v>
      </c>
      <c r="H90" s="105">
        <v>568250</v>
      </c>
      <c r="I90" s="25">
        <v>0.25</v>
      </c>
    </row>
    <row r="91" spans="1:13" s="7" customFormat="1">
      <c r="A91" s="109" t="s">
        <v>270</v>
      </c>
      <c r="B91" s="110" t="s">
        <v>271</v>
      </c>
      <c r="C91" s="111">
        <v>2</v>
      </c>
      <c r="D91" s="112">
        <v>41455</v>
      </c>
      <c r="E91" s="110" t="s">
        <v>24</v>
      </c>
      <c r="F91" s="113">
        <v>851.99</v>
      </c>
      <c r="G91" s="113">
        <v>985.87</v>
      </c>
      <c r="H91" s="113">
        <v>243425</v>
      </c>
      <c r="I91" s="114">
        <v>0.5</v>
      </c>
    </row>
    <row r="92" spans="1:13" s="7" customFormat="1">
      <c r="A92" s="15" t="s">
        <v>270</v>
      </c>
      <c r="B92" s="25" t="s">
        <v>272</v>
      </c>
      <c r="C92" s="39">
        <v>31</v>
      </c>
      <c r="D92" s="9">
        <v>41451</v>
      </c>
      <c r="E92" s="25" t="s">
        <v>24</v>
      </c>
      <c r="F92" s="105">
        <v>2286.27</v>
      </c>
      <c r="G92" s="105">
        <v>2645.55</v>
      </c>
      <c r="H92" s="105">
        <v>653221.06000000006</v>
      </c>
      <c r="I92" s="25">
        <v>1</v>
      </c>
    </row>
    <row r="93" spans="1:13" s="7" customFormat="1">
      <c r="A93" s="15" t="s">
        <v>270</v>
      </c>
      <c r="B93" s="25" t="s">
        <v>271</v>
      </c>
      <c r="C93" s="39">
        <v>32</v>
      </c>
      <c r="D93" s="9">
        <v>41452</v>
      </c>
      <c r="E93" s="25" t="s">
        <v>24</v>
      </c>
      <c r="F93" s="10">
        <v>1557.29</v>
      </c>
      <c r="G93" s="10">
        <v>1802.01</v>
      </c>
      <c r="H93" s="10">
        <v>444940.89</v>
      </c>
      <c r="I93" s="34">
        <v>1</v>
      </c>
    </row>
    <row r="94" spans="1:13" s="7" customFormat="1">
      <c r="A94" s="15" t="s">
        <v>270</v>
      </c>
      <c r="B94" s="25" t="s">
        <v>272</v>
      </c>
      <c r="C94" s="39">
        <v>83</v>
      </c>
      <c r="D94" s="9">
        <v>41453</v>
      </c>
      <c r="E94" s="25" t="s">
        <v>24</v>
      </c>
      <c r="F94" s="10">
        <v>2268.3739999999998</v>
      </c>
      <c r="G94" s="10">
        <v>2625.25</v>
      </c>
      <c r="H94" s="10">
        <v>648210.23</v>
      </c>
      <c r="I94" s="34">
        <v>1</v>
      </c>
    </row>
    <row r="95" spans="1:13" s="7" customFormat="1">
      <c r="A95" s="15" t="s">
        <v>270</v>
      </c>
      <c r="B95" s="25" t="s">
        <v>273</v>
      </c>
      <c r="C95" s="39">
        <v>87</v>
      </c>
      <c r="D95" s="9">
        <v>41451</v>
      </c>
      <c r="E95" s="25" t="s">
        <v>24</v>
      </c>
      <c r="F95" s="10">
        <v>1689.86</v>
      </c>
      <c r="G95" s="10">
        <v>1955.41</v>
      </c>
      <c r="H95" s="10">
        <v>482818.43</v>
      </c>
      <c r="I95" s="34">
        <v>1</v>
      </c>
      <c r="K95"/>
      <c r="L95"/>
      <c r="M95"/>
    </row>
    <row r="96" spans="1:13" s="7" customFormat="1">
      <c r="A96" s="15" t="s">
        <v>145</v>
      </c>
      <c r="B96" s="25" t="s">
        <v>82</v>
      </c>
      <c r="C96" s="39">
        <v>2107</v>
      </c>
      <c r="D96" s="9">
        <v>41449</v>
      </c>
      <c r="E96" s="12" t="s">
        <v>23</v>
      </c>
      <c r="F96" s="10">
        <v>1432.69</v>
      </c>
      <c r="G96" s="10">
        <v>2271.84</v>
      </c>
      <c r="H96" s="10">
        <v>409340.23</v>
      </c>
      <c r="I96" s="62">
        <v>1</v>
      </c>
      <c r="K96"/>
      <c r="L96"/>
      <c r="M96"/>
    </row>
    <row r="97" spans="1:13" s="7" customFormat="1">
      <c r="A97" s="15" t="s">
        <v>145</v>
      </c>
      <c r="B97" s="25" t="s">
        <v>82</v>
      </c>
      <c r="C97" s="39">
        <v>1907</v>
      </c>
      <c r="D97" s="9">
        <v>41449</v>
      </c>
      <c r="E97" s="12" t="s">
        <v>23</v>
      </c>
      <c r="F97" s="10">
        <v>1416.65</v>
      </c>
      <c r="G97" s="10">
        <v>2246.41</v>
      </c>
      <c r="H97" s="10">
        <v>404758.25</v>
      </c>
      <c r="I97" s="62">
        <v>1</v>
      </c>
      <c r="K97"/>
      <c r="L97"/>
      <c r="M97"/>
    </row>
    <row r="98" spans="1:13" s="7" customFormat="1">
      <c r="A98" s="15" t="s">
        <v>145</v>
      </c>
      <c r="B98" s="25" t="s">
        <v>82</v>
      </c>
      <c r="C98" s="39">
        <v>1604</v>
      </c>
      <c r="D98" s="9">
        <v>41446</v>
      </c>
      <c r="E98" s="12" t="s">
        <v>23</v>
      </c>
      <c r="F98" s="10">
        <v>1790.11</v>
      </c>
      <c r="G98" s="10">
        <v>2838.61</v>
      </c>
      <c r="H98" s="10">
        <v>511460.85</v>
      </c>
      <c r="I98" s="62">
        <v>1</v>
      </c>
    </row>
    <row r="99" spans="1:13" s="7" customFormat="1">
      <c r="A99" s="15" t="s">
        <v>270</v>
      </c>
      <c r="B99" s="25" t="s">
        <v>271</v>
      </c>
      <c r="C99" s="39">
        <v>7</v>
      </c>
      <c r="D99" s="9">
        <v>41451</v>
      </c>
      <c r="E99" s="12" t="s">
        <v>23</v>
      </c>
      <c r="F99" s="10">
        <v>1728.66</v>
      </c>
      <c r="G99" s="10">
        <v>2000.31</v>
      </c>
      <c r="H99" s="10">
        <v>493903.91</v>
      </c>
      <c r="I99" s="62">
        <v>1</v>
      </c>
      <c r="K99"/>
      <c r="L99"/>
      <c r="M99"/>
    </row>
    <row r="100" spans="1:13">
      <c r="A100" s="15" t="s">
        <v>270</v>
      </c>
      <c r="B100" s="25" t="s">
        <v>201</v>
      </c>
      <c r="C100" s="42" t="s">
        <v>293</v>
      </c>
      <c r="D100" s="9">
        <v>41451</v>
      </c>
      <c r="E100" s="12" t="s">
        <v>23</v>
      </c>
      <c r="F100" s="10">
        <v>105.26</v>
      </c>
      <c r="G100" s="10">
        <v>0</v>
      </c>
      <c r="H100" s="10">
        <v>30073.439999999999</v>
      </c>
      <c r="I100" s="62">
        <v>1</v>
      </c>
    </row>
    <row r="101" spans="1:13">
      <c r="A101" s="109" t="s">
        <v>270</v>
      </c>
      <c r="B101" s="110" t="s">
        <v>201</v>
      </c>
      <c r="C101" s="116" t="s">
        <v>294</v>
      </c>
      <c r="D101" s="112">
        <v>41451</v>
      </c>
      <c r="E101" s="115" t="s">
        <v>23</v>
      </c>
      <c r="F101" s="113">
        <v>47.46</v>
      </c>
      <c r="G101" s="113">
        <v>0</v>
      </c>
      <c r="H101" s="113">
        <v>13558.87</v>
      </c>
      <c r="I101" s="117">
        <v>0.5</v>
      </c>
    </row>
    <row r="102" spans="1:13" s="7" customFormat="1">
      <c r="A102" s="109" t="s">
        <v>270</v>
      </c>
      <c r="B102" s="110" t="s">
        <v>273</v>
      </c>
      <c r="C102" s="111">
        <v>37</v>
      </c>
      <c r="D102" s="112">
        <v>41451</v>
      </c>
      <c r="E102" s="115" t="s">
        <v>23</v>
      </c>
      <c r="F102" s="113">
        <v>812.93</v>
      </c>
      <c r="G102" s="113">
        <v>940.67</v>
      </c>
      <c r="H102" s="113">
        <v>232264.44</v>
      </c>
      <c r="I102" s="117">
        <v>0.5</v>
      </c>
      <c r="K102"/>
      <c r="L102"/>
      <c r="M102"/>
    </row>
    <row r="103" spans="1:13">
      <c r="A103" s="15" t="s">
        <v>270</v>
      </c>
      <c r="B103" s="25" t="s">
        <v>271</v>
      </c>
      <c r="C103" s="39">
        <v>34</v>
      </c>
      <c r="D103" s="9">
        <v>41455</v>
      </c>
      <c r="E103" s="12" t="s">
        <v>23</v>
      </c>
      <c r="F103" s="10">
        <v>1385.32</v>
      </c>
      <c r="G103" s="10">
        <v>1603.01</v>
      </c>
      <c r="H103" s="10">
        <v>395805.16</v>
      </c>
      <c r="I103" s="62">
        <v>1</v>
      </c>
    </row>
    <row r="104" spans="1:13">
      <c r="A104" s="15" t="s">
        <v>270</v>
      </c>
      <c r="B104" s="25" t="s">
        <v>273</v>
      </c>
      <c r="C104" s="42">
        <v>31</v>
      </c>
      <c r="D104" s="9">
        <v>41455</v>
      </c>
      <c r="E104" s="12" t="s">
        <v>23</v>
      </c>
      <c r="F104" s="10">
        <v>1351.91</v>
      </c>
      <c r="G104" s="10">
        <v>984.96</v>
      </c>
      <c r="H104" s="10">
        <v>386260.76</v>
      </c>
      <c r="I104" s="62">
        <v>1</v>
      </c>
    </row>
    <row r="105" spans="1:13">
      <c r="A105" s="15" t="s">
        <v>270</v>
      </c>
      <c r="B105" s="25" t="s">
        <v>273</v>
      </c>
      <c r="C105" s="42">
        <v>68</v>
      </c>
      <c r="D105" s="9">
        <v>41452</v>
      </c>
      <c r="E105" s="12" t="s">
        <v>23</v>
      </c>
      <c r="F105" s="10">
        <v>1286.58</v>
      </c>
      <c r="G105" s="10">
        <v>1488.76</v>
      </c>
      <c r="H105" s="10">
        <v>367594.19</v>
      </c>
      <c r="I105" s="62">
        <v>1</v>
      </c>
    </row>
    <row r="106" spans="1:13">
      <c r="A106" s="15" t="s">
        <v>270</v>
      </c>
      <c r="B106" s="25" t="s">
        <v>278</v>
      </c>
      <c r="C106" s="39">
        <v>74</v>
      </c>
      <c r="D106" s="9">
        <v>41450</v>
      </c>
      <c r="E106" s="12" t="s">
        <v>23</v>
      </c>
      <c r="F106" s="10">
        <v>2262.85</v>
      </c>
      <c r="G106" s="10">
        <v>2618.4499999999998</v>
      </c>
      <c r="H106" s="10">
        <v>646529.66</v>
      </c>
      <c r="I106" s="34">
        <v>1</v>
      </c>
    </row>
    <row r="107" spans="1:13">
      <c r="A107" s="109" t="s">
        <v>270</v>
      </c>
      <c r="B107" s="110" t="s">
        <v>273</v>
      </c>
      <c r="C107" s="116">
        <v>13</v>
      </c>
      <c r="D107" s="112">
        <v>41452</v>
      </c>
      <c r="E107" s="115" t="s">
        <v>23</v>
      </c>
      <c r="F107" s="113">
        <v>780.2</v>
      </c>
      <c r="G107" s="113">
        <v>902.8</v>
      </c>
      <c r="H107" s="113">
        <v>222914.63</v>
      </c>
      <c r="I107" s="117">
        <v>0.5</v>
      </c>
    </row>
    <row r="108" spans="1:13">
      <c r="A108" s="11"/>
      <c r="B108" s="25"/>
      <c r="C108" s="25"/>
      <c r="D108" s="25"/>
      <c r="E108" s="25"/>
      <c r="F108" s="89"/>
      <c r="G108" s="89"/>
      <c r="H108" s="89"/>
      <c r="I108" s="25"/>
    </row>
    <row r="109" spans="1:13">
      <c r="A109" s="15"/>
      <c r="B109" s="25"/>
      <c r="C109" s="39"/>
      <c r="D109" s="12"/>
      <c r="E109" s="12"/>
      <c r="F109" s="87"/>
      <c r="G109" s="87"/>
      <c r="H109" s="87"/>
      <c r="I109" s="97"/>
    </row>
    <row r="110" spans="1:13">
      <c r="A110" s="11"/>
      <c r="B110" s="25"/>
      <c r="C110" s="25"/>
      <c r="D110" s="25"/>
      <c r="E110" s="25"/>
      <c r="F110" s="89"/>
      <c r="G110" s="89"/>
      <c r="H110" s="89">
        <f>SUM(H3:H109)</f>
        <v>45098148.219999976</v>
      </c>
      <c r="I110" s="25">
        <f>SUM(I3:I109)</f>
        <v>93.5</v>
      </c>
    </row>
    <row r="111" spans="1:13">
      <c r="B111" s="7"/>
      <c r="C111" s="7"/>
      <c r="D111" s="7"/>
      <c r="E111" s="7"/>
      <c r="F111" s="7"/>
    </row>
    <row r="112" spans="1:13">
      <c r="H112" s="5"/>
    </row>
  </sheetData>
  <sheetProtection password="CC53" sheet="1" objects="1" scenarios="1"/>
  <autoFilter ref="A2:I2">
    <sortState ref="A3:I7">
      <sortCondition ref="E2"/>
    </sortState>
  </autoFilter>
  <mergeCells count="2">
    <mergeCell ref="K2:M2"/>
    <mergeCell ref="K18:M18"/>
  </mergeCells>
  <pageMargins left="0.51181102362204722" right="0.51181102362204722" top="0.78740157480314965" bottom="0.78740157480314965" header="0.31496062992125984" footer="0.31496062992125984"/>
  <pageSetup paperSize="9" scale="7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FC194"/>
  <sheetViews>
    <sheetView topLeftCell="B46" workbookViewId="0">
      <selection activeCell="E70" sqref="E70"/>
    </sheetView>
  </sheetViews>
  <sheetFormatPr defaultRowHeight="14.4"/>
  <cols>
    <col min="1" max="1" width="25.33203125" style="7" bestFit="1" customWidth="1"/>
    <col min="2" max="2" width="14.44140625" customWidth="1"/>
    <col min="3" max="3" width="12.6640625" customWidth="1"/>
    <col min="4" max="4" width="12.88671875" customWidth="1"/>
    <col min="5" max="5" width="34.5546875" style="7" bestFit="1" customWidth="1"/>
    <col min="6" max="6" width="14.88671875" customWidth="1"/>
    <col min="7" max="7" width="14.88671875" style="7" customWidth="1"/>
    <col min="8" max="8" width="14" customWidth="1"/>
    <col min="9" max="9" width="10.88671875" style="7" customWidth="1"/>
    <col min="10" max="10" width="3.5546875" customWidth="1"/>
    <col min="11" max="11" width="27.33203125" bestFit="1" customWidth="1"/>
    <col min="12" max="12" width="10.5546875" customWidth="1"/>
    <col min="13" max="13" width="12.88671875" customWidth="1"/>
    <col min="14" max="14" width="13.33203125" bestFit="1" customWidth="1"/>
    <col min="15" max="15" width="11.6640625" bestFit="1" customWidth="1"/>
    <col min="16" max="16" width="13.33203125" bestFit="1" customWidth="1"/>
  </cols>
  <sheetData>
    <row r="1" spans="1:15 16383:16383" s="7" customFormat="1"/>
    <row r="2" spans="1:15 16383:16383">
      <c r="A2" s="8" t="s">
        <v>11</v>
      </c>
      <c r="B2" s="8" t="s">
        <v>10</v>
      </c>
      <c r="C2" s="8" t="s">
        <v>0</v>
      </c>
      <c r="D2" s="8" t="s">
        <v>1</v>
      </c>
      <c r="E2" s="8" t="s">
        <v>2</v>
      </c>
      <c r="F2" s="8" t="s">
        <v>28</v>
      </c>
      <c r="G2" s="8" t="s">
        <v>29</v>
      </c>
      <c r="H2" s="8" t="s">
        <v>3</v>
      </c>
      <c r="I2" s="32" t="s">
        <v>13</v>
      </c>
      <c r="J2" s="1"/>
      <c r="K2" s="282" t="s">
        <v>13</v>
      </c>
      <c r="L2" s="282"/>
      <c r="M2" s="282"/>
    </row>
    <row r="3" spans="1:15 16383:16383">
      <c r="A3" s="15" t="s">
        <v>270</v>
      </c>
      <c r="B3" s="25" t="s">
        <v>273</v>
      </c>
      <c r="C3" s="39">
        <v>66</v>
      </c>
      <c r="D3" s="12">
        <v>41451</v>
      </c>
      <c r="E3" s="12" t="s">
        <v>282</v>
      </c>
      <c r="F3" s="10">
        <v>6964.13</v>
      </c>
      <c r="G3" s="10">
        <v>3525.59</v>
      </c>
      <c r="H3" s="10">
        <v>435257.82</v>
      </c>
      <c r="I3" s="34">
        <v>1</v>
      </c>
      <c r="J3" s="1"/>
      <c r="K3" s="2" t="s">
        <v>4</v>
      </c>
      <c r="L3" s="2" t="s">
        <v>5</v>
      </c>
      <c r="M3" s="2" t="s">
        <v>3</v>
      </c>
    </row>
    <row r="4" spans="1:15 16383:16383">
      <c r="A4" s="15" t="s">
        <v>270</v>
      </c>
      <c r="B4" s="25" t="s">
        <v>273</v>
      </c>
      <c r="C4" s="39">
        <v>72</v>
      </c>
      <c r="D4" s="12">
        <v>41455</v>
      </c>
      <c r="E4" s="12" t="s">
        <v>282</v>
      </c>
      <c r="F4" s="10">
        <v>7577.1</v>
      </c>
      <c r="G4" s="10">
        <v>3835.91</v>
      </c>
      <c r="H4" s="10">
        <v>473568.86</v>
      </c>
      <c r="I4" s="34">
        <v>1</v>
      </c>
      <c r="J4" s="33"/>
      <c r="K4" s="63" t="s">
        <v>282</v>
      </c>
      <c r="L4" s="62">
        <v>5</v>
      </c>
      <c r="M4" s="38">
        <v>2278155.8199999998</v>
      </c>
      <c r="N4" s="6"/>
      <c r="O4" s="6"/>
    </row>
    <row r="5" spans="1:15 16383:16383">
      <c r="A5" s="15" t="s">
        <v>270</v>
      </c>
      <c r="B5" s="25" t="s">
        <v>273</v>
      </c>
      <c r="C5" s="39">
        <v>75</v>
      </c>
      <c r="D5" s="12">
        <v>41451</v>
      </c>
      <c r="E5" s="12" t="s">
        <v>282</v>
      </c>
      <c r="F5" s="10">
        <v>6082.76</v>
      </c>
      <c r="G5" s="10">
        <v>3079.4</v>
      </c>
      <c r="H5" s="10">
        <v>380172.25</v>
      </c>
      <c r="I5" s="34">
        <v>1</v>
      </c>
      <c r="J5" s="33"/>
      <c r="K5" s="63" t="s">
        <v>281</v>
      </c>
      <c r="L5" s="62">
        <v>2</v>
      </c>
      <c r="M5" s="38">
        <v>1141565.43</v>
      </c>
      <c r="N5" s="5"/>
      <c r="O5" s="6"/>
      <c r="XFC5" s="12"/>
    </row>
    <row r="6" spans="1:15 16383:16383" s="7" customFormat="1">
      <c r="A6" s="15" t="s">
        <v>270</v>
      </c>
      <c r="B6" s="25" t="s">
        <v>273</v>
      </c>
      <c r="C6" s="39">
        <v>76</v>
      </c>
      <c r="D6" s="12">
        <v>41451</v>
      </c>
      <c r="E6" s="12" t="s">
        <v>282</v>
      </c>
      <c r="F6" s="10">
        <v>7930.51</v>
      </c>
      <c r="G6" s="10">
        <v>4014.82</v>
      </c>
      <c r="H6" s="10">
        <v>495656.89</v>
      </c>
      <c r="I6" s="34">
        <v>1</v>
      </c>
      <c r="J6" s="33"/>
      <c r="K6" s="63" t="s">
        <v>251</v>
      </c>
      <c r="L6" s="62">
        <v>0.5</v>
      </c>
      <c r="M6" s="38">
        <v>181609.12</v>
      </c>
      <c r="N6" s="5"/>
      <c r="O6" s="6"/>
      <c r="XFC6" s="51"/>
    </row>
    <row r="7" spans="1:15 16383:16383">
      <c r="A7" s="15" t="s">
        <v>270</v>
      </c>
      <c r="B7" s="25" t="s">
        <v>273</v>
      </c>
      <c r="C7" s="39">
        <v>82</v>
      </c>
      <c r="D7" s="12">
        <v>41451</v>
      </c>
      <c r="E7" s="12" t="s">
        <v>282</v>
      </c>
      <c r="F7" s="10">
        <v>7896</v>
      </c>
      <c r="G7" s="10">
        <v>2990.61</v>
      </c>
      <c r="H7" s="10">
        <v>493500</v>
      </c>
      <c r="I7" s="34">
        <v>1</v>
      </c>
      <c r="J7" s="33"/>
      <c r="K7" s="20" t="s">
        <v>152</v>
      </c>
      <c r="L7" s="61">
        <v>0.5</v>
      </c>
      <c r="M7" s="38">
        <v>204200</v>
      </c>
      <c r="N7" s="5"/>
      <c r="O7" s="6"/>
    </row>
    <row r="8" spans="1:15 16383:16383">
      <c r="A8" s="15" t="s">
        <v>270</v>
      </c>
      <c r="B8" s="25" t="s">
        <v>272</v>
      </c>
      <c r="C8" s="39">
        <v>51</v>
      </c>
      <c r="D8" s="9">
        <v>41452</v>
      </c>
      <c r="E8" s="12" t="s">
        <v>281</v>
      </c>
      <c r="F8" s="10">
        <v>10323.629999999999</v>
      </c>
      <c r="G8" s="10">
        <v>2361.5300000000002</v>
      </c>
      <c r="H8" s="10">
        <v>645227.11</v>
      </c>
      <c r="I8" s="62">
        <v>1</v>
      </c>
      <c r="J8" s="33"/>
      <c r="K8" s="63" t="s">
        <v>179</v>
      </c>
      <c r="L8" s="62">
        <v>1</v>
      </c>
      <c r="M8" s="38">
        <v>381400</v>
      </c>
      <c r="N8" s="5"/>
      <c r="O8" s="6"/>
    </row>
    <row r="9" spans="1:15 16383:16383">
      <c r="A9" s="15" t="s">
        <v>270</v>
      </c>
      <c r="B9" s="25" t="s">
        <v>271</v>
      </c>
      <c r="C9" s="42">
        <v>52</v>
      </c>
      <c r="D9" s="9">
        <v>41452</v>
      </c>
      <c r="E9" s="12" t="s">
        <v>281</v>
      </c>
      <c r="F9" s="10">
        <v>7941.41</v>
      </c>
      <c r="G9" s="10">
        <v>4020.34</v>
      </c>
      <c r="H9" s="10">
        <v>496338.32</v>
      </c>
      <c r="I9" s="62">
        <v>1</v>
      </c>
      <c r="J9" s="33"/>
      <c r="K9" s="63" t="s">
        <v>218</v>
      </c>
      <c r="L9" s="62">
        <v>1</v>
      </c>
      <c r="M9" s="38">
        <v>465000</v>
      </c>
      <c r="N9" s="5"/>
      <c r="O9" s="6"/>
    </row>
    <row r="10" spans="1:15 16383:16383">
      <c r="A10" s="15" t="s">
        <v>145</v>
      </c>
      <c r="B10" s="25" t="s">
        <v>85</v>
      </c>
      <c r="C10" s="39">
        <v>1201</v>
      </c>
      <c r="D10" s="9">
        <v>41441</v>
      </c>
      <c r="E10" s="12" t="s">
        <v>251</v>
      </c>
      <c r="F10" s="10">
        <v>2905.75</v>
      </c>
      <c r="G10" s="10">
        <v>2015.86</v>
      </c>
      <c r="H10" s="10">
        <v>181609.12</v>
      </c>
      <c r="I10" s="62">
        <v>0.5</v>
      </c>
      <c r="J10" s="33"/>
      <c r="K10" s="63" t="s">
        <v>295</v>
      </c>
      <c r="L10" s="62">
        <v>3</v>
      </c>
      <c r="M10" s="38">
        <v>1262713.93</v>
      </c>
      <c r="N10" s="5"/>
      <c r="O10" s="6"/>
    </row>
    <row r="11" spans="1:15 16383:16383">
      <c r="A11" s="15" t="s">
        <v>146</v>
      </c>
      <c r="B11" s="25" t="s">
        <v>85</v>
      </c>
      <c r="C11" s="42">
        <v>2610</v>
      </c>
      <c r="D11" s="9">
        <v>41430</v>
      </c>
      <c r="E11" s="12" t="s">
        <v>152</v>
      </c>
      <c r="F11" s="10">
        <v>3267.2</v>
      </c>
      <c r="G11" s="10">
        <v>1188.44</v>
      </c>
      <c r="H11" s="10">
        <v>204200</v>
      </c>
      <c r="I11" s="62">
        <v>0.5</v>
      </c>
      <c r="J11" s="33"/>
      <c r="K11" s="63" t="s">
        <v>87</v>
      </c>
      <c r="L11" s="62">
        <v>1</v>
      </c>
      <c r="M11" s="38">
        <v>370300</v>
      </c>
      <c r="N11" s="5"/>
      <c r="O11" s="6"/>
    </row>
    <row r="12" spans="1:15 16383:16383" s="7" customFormat="1">
      <c r="A12" s="15" t="s">
        <v>145</v>
      </c>
      <c r="B12" s="25" t="s">
        <v>85</v>
      </c>
      <c r="C12" s="39">
        <v>815</v>
      </c>
      <c r="D12" s="12">
        <v>41455</v>
      </c>
      <c r="E12" s="12" t="s">
        <v>179</v>
      </c>
      <c r="F12" s="10">
        <v>6102.4</v>
      </c>
      <c r="G12" s="10">
        <v>3592.79</v>
      </c>
      <c r="H12" s="10">
        <v>381400</v>
      </c>
      <c r="I12" s="62">
        <v>1</v>
      </c>
      <c r="J12" s="33"/>
      <c r="K12" s="63" t="s">
        <v>206</v>
      </c>
      <c r="L12" s="62">
        <v>1</v>
      </c>
      <c r="M12" s="38">
        <v>465000</v>
      </c>
      <c r="N12" s="5"/>
      <c r="O12" s="6"/>
    </row>
    <row r="13" spans="1:15 16383:16383">
      <c r="A13" s="15" t="s">
        <v>145</v>
      </c>
      <c r="B13" s="25" t="s">
        <v>82</v>
      </c>
      <c r="C13" s="39">
        <v>409</v>
      </c>
      <c r="D13" s="9">
        <v>41445</v>
      </c>
      <c r="E13" s="12" t="s">
        <v>261</v>
      </c>
      <c r="F13" s="10">
        <v>3571.2</v>
      </c>
      <c r="G13" s="10">
        <v>0</v>
      </c>
      <c r="H13" s="10">
        <v>223200</v>
      </c>
      <c r="I13" s="62">
        <v>0.5</v>
      </c>
      <c r="J13" s="27"/>
      <c r="K13" s="63" t="s">
        <v>83</v>
      </c>
      <c r="L13" s="62">
        <v>1</v>
      </c>
      <c r="M13" s="38">
        <v>567985.43000000005</v>
      </c>
      <c r="N13" s="5"/>
      <c r="O13" s="6"/>
    </row>
    <row r="14" spans="1:15 16383:16383">
      <c r="A14" s="15" t="s">
        <v>145</v>
      </c>
      <c r="B14" s="25" t="s">
        <v>82</v>
      </c>
      <c r="C14" s="39">
        <v>2408</v>
      </c>
      <c r="D14" s="9">
        <v>41445</v>
      </c>
      <c r="E14" s="12" t="s">
        <v>261</v>
      </c>
      <c r="F14" s="10">
        <v>3868.8</v>
      </c>
      <c r="G14" s="10">
        <v>0</v>
      </c>
      <c r="H14" s="10">
        <v>241800</v>
      </c>
      <c r="I14" s="62">
        <v>0.5</v>
      </c>
      <c r="J14" s="27"/>
      <c r="K14" s="63" t="s">
        <v>221</v>
      </c>
      <c r="L14" s="62">
        <v>0.5</v>
      </c>
      <c r="M14" s="38">
        <v>220825</v>
      </c>
      <c r="N14" s="5"/>
      <c r="O14" s="6"/>
    </row>
    <row r="15" spans="1:15 16383:16383">
      <c r="A15" s="15" t="s">
        <v>270</v>
      </c>
      <c r="B15" s="25" t="s">
        <v>273</v>
      </c>
      <c r="C15" s="39">
        <v>37</v>
      </c>
      <c r="D15" s="9">
        <v>41451</v>
      </c>
      <c r="E15" s="12" t="s">
        <v>295</v>
      </c>
      <c r="F15" s="10">
        <v>3716.23</v>
      </c>
      <c r="G15" s="10">
        <v>1881.34</v>
      </c>
      <c r="H15" s="10">
        <v>232264.44</v>
      </c>
      <c r="I15" s="62">
        <v>0.5</v>
      </c>
      <c r="J15" s="27"/>
      <c r="K15" s="63" t="s">
        <v>283</v>
      </c>
      <c r="L15" s="62">
        <v>2</v>
      </c>
      <c r="M15" s="38">
        <v>828669.23</v>
      </c>
      <c r="N15" s="5"/>
      <c r="O15" s="6"/>
    </row>
    <row r="16" spans="1:15 16383:16383">
      <c r="A16" s="15" t="s">
        <v>270</v>
      </c>
      <c r="B16" s="25" t="s">
        <v>201</v>
      </c>
      <c r="C16" s="42" t="s">
        <v>294</v>
      </c>
      <c r="D16" s="9">
        <v>41451</v>
      </c>
      <c r="E16" s="12" t="s">
        <v>295</v>
      </c>
      <c r="F16" s="10">
        <v>216.94</v>
      </c>
      <c r="G16" s="10">
        <v>0</v>
      </c>
      <c r="H16" s="10">
        <v>13558.87</v>
      </c>
      <c r="I16" s="62">
        <v>0.5</v>
      </c>
      <c r="J16" s="33"/>
      <c r="K16" s="63" t="s">
        <v>285</v>
      </c>
      <c r="L16" s="62">
        <v>0.5</v>
      </c>
      <c r="M16" s="38">
        <v>225312.27</v>
      </c>
      <c r="N16" s="5"/>
      <c r="O16" s="6"/>
    </row>
    <row r="17" spans="1:15">
      <c r="A17" s="15" t="s">
        <v>270</v>
      </c>
      <c r="B17" s="25" t="s">
        <v>271</v>
      </c>
      <c r="C17" s="39">
        <v>76</v>
      </c>
      <c r="D17" s="9">
        <v>41451</v>
      </c>
      <c r="E17" s="12" t="s">
        <v>295</v>
      </c>
      <c r="F17" s="10">
        <v>8143.03</v>
      </c>
      <c r="G17" s="10">
        <v>0</v>
      </c>
      <c r="H17" s="10">
        <v>508939.15</v>
      </c>
      <c r="I17" s="62">
        <v>1</v>
      </c>
      <c r="J17" s="33"/>
      <c r="K17" s="63" t="s">
        <v>288</v>
      </c>
      <c r="L17" s="62">
        <v>1</v>
      </c>
      <c r="M17" s="38">
        <v>380283.15</v>
      </c>
      <c r="N17" s="5"/>
      <c r="O17" s="6"/>
    </row>
    <row r="18" spans="1:15">
      <c r="A18" s="15" t="s">
        <v>270</v>
      </c>
      <c r="B18" s="25" t="s">
        <v>271</v>
      </c>
      <c r="C18" s="42">
        <v>56</v>
      </c>
      <c r="D18" s="9">
        <v>41451</v>
      </c>
      <c r="E18" s="12" t="s">
        <v>295</v>
      </c>
      <c r="F18" s="10">
        <v>8127.22</v>
      </c>
      <c r="G18" s="10">
        <v>0</v>
      </c>
      <c r="H18" s="10">
        <v>507951.47</v>
      </c>
      <c r="I18" s="62">
        <v>1</v>
      </c>
      <c r="J18" s="33"/>
      <c r="K18" s="63" t="s">
        <v>49</v>
      </c>
      <c r="L18" s="62">
        <v>2</v>
      </c>
      <c r="M18" s="38">
        <v>814098.48</v>
      </c>
      <c r="N18" s="5"/>
      <c r="O18" s="6"/>
    </row>
    <row r="19" spans="1:15">
      <c r="A19" s="15" t="s">
        <v>146</v>
      </c>
      <c r="B19" s="25" t="s">
        <v>85</v>
      </c>
      <c r="C19" s="39">
        <v>907</v>
      </c>
      <c r="D19" s="9">
        <v>41451</v>
      </c>
      <c r="E19" s="12" t="s">
        <v>87</v>
      </c>
      <c r="F19" s="10">
        <v>5924.8</v>
      </c>
      <c r="G19" s="10">
        <v>4110.33</v>
      </c>
      <c r="H19" s="10">
        <v>370300</v>
      </c>
      <c r="I19" s="62">
        <v>1</v>
      </c>
      <c r="J19" s="27"/>
      <c r="K19" s="63" t="s">
        <v>70</v>
      </c>
      <c r="L19" s="62">
        <v>1</v>
      </c>
      <c r="M19" s="38">
        <v>2050000</v>
      </c>
      <c r="N19" s="5"/>
      <c r="O19" s="6"/>
    </row>
    <row r="20" spans="1:15">
      <c r="A20" s="15" t="s">
        <v>145</v>
      </c>
      <c r="B20" s="25" t="s">
        <v>82</v>
      </c>
      <c r="C20" s="39">
        <v>409</v>
      </c>
      <c r="D20" s="9">
        <v>41445</v>
      </c>
      <c r="E20" s="12" t="s">
        <v>260</v>
      </c>
      <c r="F20" s="10">
        <v>3571.2</v>
      </c>
      <c r="G20" s="10">
        <v>0</v>
      </c>
      <c r="H20" s="10">
        <v>223200</v>
      </c>
      <c r="I20" s="62">
        <v>0.5</v>
      </c>
      <c r="J20" s="1"/>
      <c r="K20" s="63" t="s">
        <v>274</v>
      </c>
      <c r="L20" s="62">
        <v>3</v>
      </c>
      <c r="M20" s="38">
        <v>1295782.5</v>
      </c>
      <c r="N20" s="5"/>
      <c r="O20" s="6"/>
    </row>
    <row r="21" spans="1:15">
      <c r="A21" s="15" t="s">
        <v>145</v>
      </c>
      <c r="B21" s="25" t="s">
        <v>82</v>
      </c>
      <c r="C21" s="39">
        <v>2408</v>
      </c>
      <c r="D21" s="9">
        <v>41445</v>
      </c>
      <c r="E21" s="12" t="s">
        <v>260</v>
      </c>
      <c r="F21" s="10">
        <v>3868.8</v>
      </c>
      <c r="G21" s="10">
        <v>0</v>
      </c>
      <c r="H21" s="10">
        <v>241800</v>
      </c>
      <c r="I21" s="62">
        <v>0.5</v>
      </c>
      <c r="J21" s="1"/>
      <c r="K21" s="63" t="s">
        <v>268</v>
      </c>
      <c r="L21" s="62">
        <v>0.25</v>
      </c>
      <c r="M21" s="38">
        <v>568250</v>
      </c>
      <c r="N21" s="5"/>
      <c r="O21" s="64"/>
    </row>
    <row r="22" spans="1:15">
      <c r="A22" s="15" t="s">
        <v>270</v>
      </c>
      <c r="B22" s="25" t="s">
        <v>273</v>
      </c>
      <c r="C22" s="39">
        <v>62</v>
      </c>
      <c r="D22" s="9">
        <v>41451</v>
      </c>
      <c r="E22" s="12" t="s">
        <v>83</v>
      </c>
      <c r="F22" s="10">
        <v>3936.26</v>
      </c>
      <c r="G22" s="10">
        <v>1992.73</v>
      </c>
      <c r="H22" s="10">
        <v>246016</v>
      </c>
      <c r="I22" s="34">
        <v>0.5</v>
      </c>
      <c r="J22" s="1"/>
      <c r="K22" s="63" t="s">
        <v>65</v>
      </c>
      <c r="L22" s="62">
        <v>1</v>
      </c>
      <c r="M22" s="38">
        <v>242141.02</v>
      </c>
      <c r="N22" s="5"/>
      <c r="O22" s="6"/>
    </row>
    <row r="23" spans="1:15" s="7" customFormat="1">
      <c r="A23" s="15" t="s">
        <v>270</v>
      </c>
      <c r="B23" s="25" t="s">
        <v>273</v>
      </c>
      <c r="C23" s="39">
        <v>82</v>
      </c>
      <c r="D23" s="9">
        <v>41451</v>
      </c>
      <c r="E23" s="12" t="s">
        <v>83</v>
      </c>
      <c r="F23" s="10">
        <v>5151.51</v>
      </c>
      <c r="G23" s="10">
        <v>0</v>
      </c>
      <c r="H23" s="10">
        <v>321969.43</v>
      </c>
      <c r="I23" s="34">
        <v>0.5</v>
      </c>
      <c r="K23" s="63" t="s">
        <v>67</v>
      </c>
      <c r="L23" s="62">
        <v>1</v>
      </c>
      <c r="M23" s="38">
        <v>474548.59</v>
      </c>
      <c r="N23" s="5"/>
      <c r="O23" s="6"/>
    </row>
    <row r="24" spans="1:15" s="7" customFormat="1">
      <c r="A24" s="15" t="s">
        <v>270</v>
      </c>
      <c r="B24" s="25" t="s">
        <v>273</v>
      </c>
      <c r="C24" s="39">
        <v>33</v>
      </c>
      <c r="D24" s="9">
        <v>41455</v>
      </c>
      <c r="E24" s="12" t="s">
        <v>207</v>
      </c>
      <c r="F24" s="10">
        <v>3533.2</v>
      </c>
      <c r="G24" s="10">
        <v>1126.21</v>
      </c>
      <c r="H24" s="10">
        <v>220825</v>
      </c>
      <c r="I24" s="62">
        <v>0.5</v>
      </c>
      <c r="K24" s="63" t="s">
        <v>62</v>
      </c>
      <c r="L24" s="62">
        <v>1</v>
      </c>
      <c r="M24" s="38">
        <v>311241.55</v>
      </c>
      <c r="N24" s="5"/>
      <c r="O24" s="50"/>
    </row>
    <row r="25" spans="1:15" s="7" customFormat="1">
      <c r="A25" s="15" t="s">
        <v>270</v>
      </c>
      <c r="B25" s="25" t="s">
        <v>271</v>
      </c>
      <c r="C25" s="39">
        <v>14</v>
      </c>
      <c r="D25" s="12">
        <v>41451</v>
      </c>
      <c r="E25" s="12" t="s">
        <v>283</v>
      </c>
      <c r="F25" s="10">
        <v>6206.86</v>
      </c>
      <c r="G25" s="10">
        <v>3142.22</v>
      </c>
      <c r="H25" s="10">
        <v>387928.72</v>
      </c>
      <c r="I25" s="34">
        <v>1</v>
      </c>
      <c r="K25" s="20" t="s">
        <v>291</v>
      </c>
      <c r="L25" s="61">
        <v>1</v>
      </c>
      <c r="M25" s="38">
        <v>375702</v>
      </c>
      <c r="N25" s="5"/>
    </row>
    <row r="26" spans="1:15" s="7" customFormat="1">
      <c r="A26" s="15" t="s">
        <v>270</v>
      </c>
      <c r="B26" s="25" t="s">
        <v>273</v>
      </c>
      <c r="C26" s="39">
        <v>42</v>
      </c>
      <c r="D26" s="12">
        <v>41452</v>
      </c>
      <c r="E26" s="12" t="s">
        <v>283</v>
      </c>
      <c r="F26" s="10">
        <v>7051.85</v>
      </c>
      <c r="G26" s="10">
        <v>3570</v>
      </c>
      <c r="H26" s="10">
        <v>440740.51</v>
      </c>
      <c r="I26" s="34">
        <v>1</v>
      </c>
      <c r="K26" s="63" t="s">
        <v>105</v>
      </c>
      <c r="L26" s="62">
        <v>2</v>
      </c>
      <c r="M26" s="38">
        <v>1197291.21</v>
      </c>
      <c r="N26" s="5"/>
    </row>
    <row r="27" spans="1:15" s="7" customFormat="1">
      <c r="A27" s="15" t="s">
        <v>270</v>
      </c>
      <c r="B27" s="25" t="s">
        <v>273</v>
      </c>
      <c r="C27" s="42">
        <v>26</v>
      </c>
      <c r="D27" s="9">
        <v>41451</v>
      </c>
      <c r="E27" s="12" t="s">
        <v>285</v>
      </c>
      <c r="F27" s="10">
        <v>3605</v>
      </c>
      <c r="G27" s="10">
        <v>1825.03</v>
      </c>
      <c r="H27" s="10">
        <v>225312.27</v>
      </c>
      <c r="I27" s="62">
        <v>0.5</v>
      </c>
      <c r="K27" s="63" t="s">
        <v>276</v>
      </c>
      <c r="L27" s="62">
        <v>1</v>
      </c>
      <c r="M27" s="38">
        <v>530824.75</v>
      </c>
      <c r="N27" s="5"/>
      <c r="O27" s="64"/>
    </row>
    <row r="28" spans="1:15" s="7" customFormat="1">
      <c r="A28" s="15" t="s">
        <v>270</v>
      </c>
      <c r="B28" s="25" t="s">
        <v>273</v>
      </c>
      <c r="C28" s="42">
        <v>48</v>
      </c>
      <c r="D28" s="9">
        <v>41450</v>
      </c>
      <c r="E28" s="12" t="s">
        <v>287</v>
      </c>
      <c r="F28" s="10">
        <v>3072.84</v>
      </c>
      <c r="G28" s="10">
        <v>1555.62</v>
      </c>
      <c r="H28" s="10">
        <v>192052.43</v>
      </c>
      <c r="I28" s="62">
        <v>0.5</v>
      </c>
      <c r="K28" s="63" t="s">
        <v>168</v>
      </c>
      <c r="L28" s="62">
        <v>0.5</v>
      </c>
      <c r="M28" s="38">
        <v>181609.12</v>
      </c>
      <c r="N28" s="5"/>
      <c r="O28" s="50"/>
    </row>
    <row r="29" spans="1:15" s="7" customFormat="1">
      <c r="A29" s="15" t="s">
        <v>270</v>
      </c>
      <c r="B29" s="25" t="s">
        <v>273</v>
      </c>
      <c r="C29" s="42">
        <v>28</v>
      </c>
      <c r="D29" s="9">
        <v>41450</v>
      </c>
      <c r="E29" s="12" t="s">
        <v>287</v>
      </c>
      <c r="F29" s="10">
        <v>3011.69</v>
      </c>
      <c r="G29" s="10">
        <v>1524.67</v>
      </c>
      <c r="H29" s="10">
        <v>188230.72</v>
      </c>
      <c r="I29" s="62">
        <v>0.5</v>
      </c>
      <c r="K29" s="20" t="s">
        <v>292</v>
      </c>
      <c r="L29" s="61">
        <v>3.5</v>
      </c>
      <c r="M29" s="38">
        <v>967703.24</v>
      </c>
      <c r="N29" s="5"/>
      <c r="O29" s="64"/>
    </row>
    <row r="30" spans="1:15" s="7" customFormat="1">
      <c r="A30" s="15" t="s">
        <v>145</v>
      </c>
      <c r="B30" s="25" t="s">
        <v>82</v>
      </c>
      <c r="C30" s="39">
        <v>2107</v>
      </c>
      <c r="D30" s="9">
        <v>41449</v>
      </c>
      <c r="E30" s="12" t="s">
        <v>49</v>
      </c>
      <c r="F30" s="10">
        <v>6549.44</v>
      </c>
      <c r="G30" s="10">
        <v>4543.68</v>
      </c>
      <c r="H30" s="10">
        <v>409340.23</v>
      </c>
      <c r="I30" s="62">
        <v>1</v>
      </c>
      <c r="K30" s="63" t="s">
        <v>59</v>
      </c>
      <c r="L30" s="62">
        <v>2</v>
      </c>
      <c r="M30" s="38">
        <v>1115534.8400000001</v>
      </c>
      <c r="N30" s="5"/>
      <c r="O30" s="64"/>
    </row>
    <row r="31" spans="1:15" s="7" customFormat="1">
      <c r="A31" s="15" t="s">
        <v>145</v>
      </c>
      <c r="B31" s="25" t="s">
        <v>82</v>
      </c>
      <c r="C31" s="39">
        <v>1907</v>
      </c>
      <c r="D31" s="9">
        <v>41449</v>
      </c>
      <c r="E31" s="12" t="s">
        <v>49</v>
      </c>
      <c r="F31" s="10">
        <v>6476.13</v>
      </c>
      <c r="G31" s="10">
        <v>4492.82</v>
      </c>
      <c r="H31" s="10">
        <v>404758.25</v>
      </c>
      <c r="I31" s="62">
        <v>1</v>
      </c>
      <c r="K31" s="63" t="s">
        <v>296</v>
      </c>
      <c r="L31" s="62">
        <v>0.5</v>
      </c>
      <c r="M31" s="38">
        <v>197902.58</v>
      </c>
      <c r="N31" s="5"/>
      <c r="O31" s="64"/>
    </row>
    <row r="32" spans="1:15" s="7" customFormat="1">
      <c r="A32" s="15" t="s">
        <v>264</v>
      </c>
      <c r="B32" s="25" t="s">
        <v>85</v>
      </c>
      <c r="C32" s="39">
        <v>211</v>
      </c>
      <c r="D32" s="9">
        <v>41446</v>
      </c>
      <c r="E32" s="12" t="s">
        <v>70</v>
      </c>
      <c r="F32" s="10">
        <v>41000</v>
      </c>
      <c r="G32" s="10">
        <v>0</v>
      </c>
      <c r="H32" s="10">
        <v>2050000</v>
      </c>
      <c r="I32" s="34">
        <v>1</v>
      </c>
      <c r="K32" s="63" t="s">
        <v>77</v>
      </c>
      <c r="L32" s="62">
        <v>1.5</v>
      </c>
      <c r="M32" s="38">
        <v>727693.86</v>
      </c>
      <c r="N32" s="5"/>
    </row>
    <row r="33" spans="1:15">
      <c r="A33" s="15" t="s">
        <v>270</v>
      </c>
      <c r="B33" s="25" t="s">
        <v>273</v>
      </c>
      <c r="C33" s="42">
        <v>35</v>
      </c>
      <c r="D33" s="9">
        <v>41455</v>
      </c>
      <c r="E33" s="12" t="s">
        <v>274</v>
      </c>
      <c r="F33" s="10">
        <v>5964.06</v>
      </c>
      <c r="G33" s="10">
        <v>1386.64</v>
      </c>
      <c r="H33" s="10">
        <v>372753.5</v>
      </c>
      <c r="I33" s="62">
        <v>1</v>
      </c>
      <c r="K33" s="20" t="s">
        <v>55</v>
      </c>
      <c r="L33" s="62">
        <v>2</v>
      </c>
      <c r="M33" s="38">
        <v>1031899.41</v>
      </c>
      <c r="N33" s="5"/>
      <c r="O33" s="64"/>
    </row>
    <row r="34" spans="1:15">
      <c r="A34" s="15" t="s">
        <v>270</v>
      </c>
      <c r="B34" s="25" t="s">
        <v>271</v>
      </c>
      <c r="C34" s="42">
        <v>36</v>
      </c>
      <c r="D34" s="9">
        <v>41455</v>
      </c>
      <c r="E34" s="12" t="s">
        <v>274</v>
      </c>
      <c r="F34" s="10">
        <v>7877.26</v>
      </c>
      <c r="G34" s="10">
        <v>3987.86</v>
      </c>
      <c r="H34" s="10">
        <v>492329</v>
      </c>
      <c r="I34" s="62">
        <v>1</v>
      </c>
      <c r="K34" s="63" t="s">
        <v>266</v>
      </c>
      <c r="L34" s="62">
        <v>2</v>
      </c>
      <c r="M34" s="38">
        <f>507180+517661</f>
        <v>1024841</v>
      </c>
      <c r="N34" s="5"/>
      <c r="O34" s="64"/>
    </row>
    <row r="35" spans="1:15">
      <c r="A35" s="15" t="s">
        <v>270</v>
      </c>
      <c r="B35" s="25" t="s">
        <v>271</v>
      </c>
      <c r="C35" s="42">
        <v>46</v>
      </c>
      <c r="D35" s="9">
        <v>41455</v>
      </c>
      <c r="E35" s="12" t="s">
        <v>274</v>
      </c>
      <c r="F35" s="10">
        <v>6891.2</v>
      </c>
      <c r="G35" s="10">
        <v>3488.67</v>
      </c>
      <c r="H35" s="10">
        <v>430700</v>
      </c>
      <c r="I35" s="62">
        <v>1</v>
      </c>
      <c r="K35" s="63" t="s">
        <v>304</v>
      </c>
      <c r="L35" s="62">
        <v>1</v>
      </c>
      <c r="M35" s="38">
        <v>633914.91</v>
      </c>
      <c r="N35" s="5"/>
      <c r="O35" s="50"/>
    </row>
    <row r="36" spans="1:15">
      <c r="A36" s="11" t="s">
        <v>269</v>
      </c>
      <c r="B36" s="25" t="s">
        <v>85</v>
      </c>
      <c r="C36" s="25">
        <v>151</v>
      </c>
      <c r="D36" s="98">
        <v>41439</v>
      </c>
      <c r="E36" s="25" t="s">
        <v>268</v>
      </c>
      <c r="F36" s="105">
        <v>20947.29</v>
      </c>
      <c r="G36" s="105">
        <v>0</v>
      </c>
      <c r="H36" s="105">
        <v>568250</v>
      </c>
      <c r="I36" s="25">
        <v>0.25</v>
      </c>
      <c r="K36" s="20" t="s">
        <v>180</v>
      </c>
      <c r="L36" s="61">
        <v>0.5</v>
      </c>
      <c r="M36" s="38">
        <v>204200</v>
      </c>
      <c r="N36" s="5"/>
      <c r="O36" s="64"/>
    </row>
    <row r="37" spans="1:15">
      <c r="A37" s="15" t="s">
        <v>116</v>
      </c>
      <c r="B37" s="25" t="s">
        <v>117</v>
      </c>
      <c r="C37" s="39">
        <v>105</v>
      </c>
      <c r="D37" s="9">
        <v>41437</v>
      </c>
      <c r="E37" s="12" t="s">
        <v>65</v>
      </c>
      <c r="F37" s="10">
        <f>H37*2%</f>
        <v>4842.8203999999996</v>
      </c>
      <c r="G37" s="10">
        <f>6164.91-F37</f>
        <v>1322.0896000000002</v>
      </c>
      <c r="H37" s="10">
        <v>242141.02</v>
      </c>
      <c r="I37" s="62">
        <v>1</v>
      </c>
      <c r="K37" s="63" t="s">
        <v>302</v>
      </c>
      <c r="L37" s="62">
        <v>4</v>
      </c>
      <c r="M37" s="38">
        <v>1480897.48</v>
      </c>
      <c r="N37" s="5"/>
      <c r="O37" s="64"/>
    </row>
    <row r="38" spans="1:15">
      <c r="A38" s="15" t="s">
        <v>146</v>
      </c>
      <c r="B38" s="25" t="s">
        <v>82</v>
      </c>
      <c r="C38" s="39">
        <v>509</v>
      </c>
      <c r="D38" s="12">
        <v>41441</v>
      </c>
      <c r="E38" s="12" t="s">
        <v>67</v>
      </c>
      <c r="F38" s="10">
        <v>7592.78</v>
      </c>
      <c r="G38" s="10">
        <v>5267.49</v>
      </c>
      <c r="H38" s="10">
        <v>474548.59</v>
      </c>
      <c r="I38" s="62">
        <v>1</v>
      </c>
      <c r="K38" s="63" t="s">
        <v>297</v>
      </c>
      <c r="L38" s="62">
        <v>1</v>
      </c>
      <c r="M38" s="38">
        <v>645529.66</v>
      </c>
      <c r="N38" s="5"/>
      <c r="O38" s="64"/>
    </row>
    <row r="39" spans="1:15">
      <c r="A39" s="15" t="s">
        <v>145</v>
      </c>
      <c r="B39" s="25" t="s">
        <v>85</v>
      </c>
      <c r="C39" s="39">
        <v>1202</v>
      </c>
      <c r="D39" s="9">
        <v>41441</v>
      </c>
      <c r="E39" s="12" t="s">
        <v>62</v>
      </c>
      <c r="F39" s="10">
        <v>4979.8599999999997</v>
      </c>
      <c r="G39" s="10">
        <v>3454.78</v>
      </c>
      <c r="H39" s="10">
        <v>311241.55</v>
      </c>
      <c r="I39" s="62">
        <v>1</v>
      </c>
      <c r="K39" s="63" t="s">
        <v>78</v>
      </c>
      <c r="L39" s="62">
        <v>2</v>
      </c>
      <c r="M39" s="38">
        <v>948518.86</v>
      </c>
      <c r="N39" s="5"/>
      <c r="O39" s="64"/>
    </row>
    <row r="40" spans="1:15">
      <c r="A40" s="15" t="s">
        <v>270</v>
      </c>
      <c r="B40" s="25" t="s">
        <v>271</v>
      </c>
      <c r="C40" s="42">
        <v>18</v>
      </c>
      <c r="D40" s="9">
        <v>41455</v>
      </c>
      <c r="E40" s="12" t="s">
        <v>291</v>
      </c>
      <c r="F40" s="10">
        <v>6011.23</v>
      </c>
      <c r="G40" s="10">
        <v>3043.19</v>
      </c>
      <c r="H40" s="10">
        <v>375702</v>
      </c>
      <c r="I40" s="62">
        <v>1</v>
      </c>
      <c r="K40" s="63" t="s">
        <v>279</v>
      </c>
      <c r="L40" s="62">
        <v>1</v>
      </c>
      <c r="M40" s="38">
        <v>638796</v>
      </c>
      <c r="N40" s="6"/>
      <c r="O40" s="64"/>
    </row>
    <row r="41" spans="1:15">
      <c r="A41" s="15" t="s">
        <v>270</v>
      </c>
      <c r="B41" s="25" t="s">
        <v>272</v>
      </c>
      <c r="C41" s="39">
        <v>31</v>
      </c>
      <c r="D41" s="9">
        <v>41451</v>
      </c>
      <c r="E41" s="12" t="s">
        <v>105</v>
      </c>
      <c r="F41" s="10">
        <v>5225.7700000000004</v>
      </c>
      <c r="G41" s="10">
        <v>2645.55</v>
      </c>
      <c r="H41" s="10">
        <v>326610.53000000003</v>
      </c>
      <c r="I41" s="34">
        <v>0.5</v>
      </c>
      <c r="K41" s="63" t="s">
        <v>196</v>
      </c>
      <c r="L41" s="62">
        <v>0.5</v>
      </c>
      <c r="M41" s="38">
        <v>243425</v>
      </c>
      <c r="N41" s="5"/>
      <c r="O41" s="50"/>
    </row>
    <row r="42" spans="1:15">
      <c r="A42" s="15" t="s">
        <v>270</v>
      </c>
      <c r="B42" s="25" t="s">
        <v>271</v>
      </c>
      <c r="C42" s="39">
        <v>32</v>
      </c>
      <c r="D42" s="9">
        <v>41452</v>
      </c>
      <c r="E42" s="12" t="s">
        <v>105</v>
      </c>
      <c r="F42" s="10">
        <v>3559.53</v>
      </c>
      <c r="G42" s="10">
        <v>1802.01</v>
      </c>
      <c r="H42" s="10">
        <v>222470.45</v>
      </c>
      <c r="I42" s="34">
        <v>0.5</v>
      </c>
      <c r="K42" s="63" t="s">
        <v>289</v>
      </c>
      <c r="L42" s="62">
        <v>1</v>
      </c>
      <c r="M42" s="38">
        <v>380283.15</v>
      </c>
      <c r="N42" s="5"/>
      <c r="O42" s="64"/>
    </row>
    <row r="43" spans="1:15">
      <c r="A43" s="15" t="s">
        <v>270</v>
      </c>
      <c r="B43" s="25" t="s">
        <v>272</v>
      </c>
      <c r="C43" s="39">
        <v>83</v>
      </c>
      <c r="D43" s="9">
        <v>41453</v>
      </c>
      <c r="E43" s="12" t="s">
        <v>105</v>
      </c>
      <c r="F43" s="10">
        <v>2268.7399999999998</v>
      </c>
      <c r="G43" s="10">
        <v>2625.25</v>
      </c>
      <c r="H43" s="10">
        <v>648210.23</v>
      </c>
      <c r="I43" s="34">
        <v>0.5</v>
      </c>
      <c r="K43" s="63" t="s">
        <v>19</v>
      </c>
      <c r="L43" s="62">
        <v>1</v>
      </c>
      <c r="M43" s="38">
        <v>604850</v>
      </c>
      <c r="N43" s="5"/>
      <c r="O43" s="64"/>
    </row>
    <row r="44" spans="1:15">
      <c r="A44" s="15" t="s">
        <v>270</v>
      </c>
      <c r="B44" s="25" t="s">
        <v>271</v>
      </c>
      <c r="C44" s="39">
        <v>77</v>
      </c>
      <c r="D44" s="9">
        <v>41451</v>
      </c>
      <c r="E44" s="12" t="s">
        <v>276</v>
      </c>
      <c r="F44" s="10">
        <v>8493.2000000000007</v>
      </c>
      <c r="G44" s="10">
        <v>4299.68</v>
      </c>
      <c r="H44" s="10">
        <v>530824.75</v>
      </c>
      <c r="I44" s="62">
        <v>1</v>
      </c>
      <c r="K44" s="63" t="s">
        <v>267</v>
      </c>
      <c r="L44" s="62">
        <v>0.25</v>
      </c>
      <c r="M44" s="38">
        <v>568250</v>
      </c>
      <c r="N44" s="5"/>
      <c r="O44" s="64"/>
    </row>
    <row r="45" spans="1:15">
      <c r="A45" s="15" t="s">
        <v>145</v>
      </c>
      <c r="B45" s="25" t="s">
        <v>85</v>
      </c>
      <c r="C45" s="39">
        <v>1201</v>
      </c>
      <c r="D45" s="9">
        <v>41441</v>
      </c>
      <c r="E45" s="12" t="s">
        <v>168</v>
      </c>
      <c r="F45" s="10">
        <v>2905.75</v>
      </c>
      <c r="G45" s="10">
        <v>2015.86</v>
      </c>
      <c r="H45" s="10">
        <v>181609.12</v>
      </c>
      <c r="I45" s="62">
        <v>0.5</v>
      </c>
      <c r="K45" s="63" t="s">
        <v>277</v>
      </c>
      <c r="L45" s="62">
        <v>2</v>
      </c>
      <c r="M45" s="38">
        <v>864871.79</v>
      </c>
      <c r="N45" s="5"/>
      <c r="O45" s="64"/>
    </row>
    <row r="46" spans="1:15">
      <c r="A46" s="15" t="s">
        <v>270</v>
      </c>
      <c r="B46" s="25" t="s">
        <v>271</v>
      </c>
      <c r="C46" s="39">
        <v>7</v>
      </c>
      <c r="D46" s="9">
        <v>41451</v>
      </c>
      <c r="E46" s="12" t="s">
        <v>292</v>
      </c>
      <c r="F46" s="10">
        <v>7902.46</v>
      </c>
      <c r="G46" s="10">
        <v>4000.62</v>
      </c>
      <c r="H46" s="10">
        <v>493903.91</v>
      </c>
      <c r="I46" s="62">
        <v>1</v>
      </c>
      <c r="K46" s="63" t="s">
        <v>43</v>
      </c>
      <c r="L46" s="62">
        <v>1</v>
      </c>
      <c r="M46" s="38">
        <v>630000</v>
      </c>
      <c r="N46" s="5"/>
      <c r="O46" s="64"/>
    </row>
    <row r="47" spans="1:15">
      <c r="A47" s="15" t="s">
        <v>270</v>
      </c>
      <c r="B47" s="25" t="s">
        <v>201</v>
      </c>
      <c r="C47" s="42" t="s">
        <v>293</v>
      </c>
      <c r="D47" s="9">
        <v>41451</v>
      </c>
      <c r="E47" s="12" t="s">
        <v>292</v>
      </c>
      <c r="F47" s="10">
        <v>481.18</v>
      </c>
      <c r="G47" s="10">
        <v>0</v>
      </c>
      <c r="H47" s="10">
        <v>30073.439999999999</v>
      </c>
      <c r="I47" s="62">
        <v>1</v>
      </c>
      <c r="K47" s="63" t="s">
        <v>253</v>
      </c>
      <c r="L47" s="62">
        <v>1</v>
      </c>
      <c r="M47" s="38">
        <v>333514.5</v>
      </c>
      <c r="N47" s="5"/>
    </row>
    <row r="48" spans="1:15">
      <c r="A48" s="15" t="s">
        <v>270</v>
      </c>
      <c r="B48" s="25" t="s">
        <v>201</v>
      </c>
      <c r="C48" s="42" t="s">
        <v>294</v>
      </c>
      <c r="D48" s="9">
        <v>41451</v>
      </c>
      <c r="E48" s="12" t="s">
        <v>292</v>
      </c>
      <c r="F48" s="10">
        <v>216.94</v>
      </c>
      <c r="G48" s="10">
        <v>0</v>
      </c>
      <c r="H48" s="10">
        <v>13558.87</v>
      </c>
      <c r="I48" s="62">
        <v>0.5</v>
      </c>
      <c r="K48" s="63" t="s">
        <v>280</v>
      </c>
      <c r="L48" s="62">
        <v>1</v>
      </c>
      <c r="M48" s="38">
        <v>331050</v>
      </c>
      <c r="N48" s="5"/>
      <c r="O48" s="64"/>
    </row>
    <row r="49" spans="1:16">
      <c r="A49" s="15" t="s">
        <v>270</v>
      </c>
      <c r="B49" s="25" t="s">
        <v>273</v>
      </c>
      <c r="C49" s="39">
        <v>37</v>
      </c>
      <c r="D49" s="9">
        <v>41451</v>
      </c>
      <c r="E49" s="12" t="s">
        <v>292</v>
      </c>
      <c r="F49" s="10">
        <v>3716.23</v>
      </c>
      <c r="G49" s="10">
        <v>1881.34</v>
      </c>
      <c r="H49" s="10">
        <v>232264.44</v>
      </c>
      <c r="I49" s="62">
        <v>0.5</v>
      </c>
      <c r="K49" s="20" t="s">
        <v>63</v>
      </c>
      <c r="L49" s="61">
        <v>1</v>
      </c>
      <c r="M49" s="38">
        <v>567985.43000000005</v>
      </c>
      <c r="N49" s="5"/>
      <c r="O49" s="64"/>
    </row>
    <row r="50" spans="1:16" s="7" customFormat="1">
      <c r="A50" s="15" t="s">
        <v>270</v>
      </c>
      <c r="B50" s="25" t="s">
        <v>271</v>
      </c>
      <c r="C50" s="39">
        <v>34</v>
      </c>
      <c r="D50" s="9">
        <v>41455</v>
      </c>
      <c r="E50" s="12" t="s">
        <v>292</v>
      </c>
      <c r="F50" s="10">
        <v>3166.44</v>
      </c>
      <c r="G50" s="10">
        <v>1603.01</v>
      </c>
      <c r="H50" s="10">
        <v>197902.58</v>
      </c>
      <c r="I50" s="62">
        <v>0.5</v>
      </c>
      <c r="K50" s="63" t="s">
        <v>275</v>
      </c>
      <c r="L50" s="62">
        <v>1</v>
      </c>
      <c r="M50" s="38">
        <v>384015</v>
      </c>
      <c r="N50" s="5"/>
    </row>
    <row r="51" spans="1:16">
      <c r="A51" s="15" t="s">
        <v>270</v>
      </c>
      <c r="B51" s="25" t="s">
        <v>271</v>
      </c>
      <c r="C51" s="39">
        <v>83</v>
      </c>
      <c r="D51" s="9">
        <v>41451</v>
      </c>
      <c r="E51" s="12" t="s">
        <v>59</v>
      </c>
      <c r="F51" s="10">
        <v>8396.19</v>
      </c>
      <c r="G51" s="10">
        <v>4250.57</v>
      </c>
      <c r="H51" s="10">
        <v>524761.81000000006</v>
      </c>
      <c r="I51" s="62">
        <v>1</v>
      </c>
      <c r="K51" s="63" t="s">
        <v>101</v>
      </c>
      <c r="L51" s="62">
        <v>1.5</v>
      </c>
      <c r="M51" s="38">
        <v>645213.53</v>
      </c>
      <c r="N51" s="5"/>
    </row>
    <row r="52" spans="1:16" s="7" customFormat="1">
      <c r="A52" s="15" t="s">
        <v>270</v>
      </c>
      <c r="B52" s="25" t="s">
        <v>272</v>
      </c>
      <c r="C52" s="39">
        <v>33</v>
      </c>
      <c r="D52" s="9">
        <v>41453</v>
      </c>
      <c r="E52" s="12" t="s">
        <v>59</v>
      </c>
      <c r="F52" s="10">
        <v>9452.3700000000008</v>
      </c>
      <c r="G52" s="10">
        <v>4785.26</v>
      </c>
      <c r="H52" s="10">
        <v>590773.03</v>
      </c>
      <c r="I52" s="62">
        <v>1</v>
      </c>
      <c r="K52" s="63" t="s">
        <v>140</v>
      </c>
      <c r="L52" s="62">
        <v>1</v>
      </c>
      <c r="M52" s="38">
        <v>311136</v>
      </c>
      <c r="N52" s="5"/>
      <c r="O52" s="64"/>
    </row>
    <row r="53" spans="1:16">
      <c r="A53" s="15" t="s">
        <v>270</v>
      </c>
      <c r="B53" s="25" t="s">
        <v>271</v>
      </c>
      <c r="C53" s="39">
        <v>34</v>
      </c>
      <c r="D53" s="9">
        <v>41455</v>
      </c>
      <c r="E53" s="12" t="s">
        <v>296</v>
      </c>
      <c r="F53" s="10">
        <v>3166.44</v>
      </c>
      <c r="G53" s="10">
        <v>1603.01</v>
      </c>
      <c r="H53" s="10">
        <v>197902.58</v>
      </c>
      <c r="I53" s="62">
        <v>0.5</v>
      </c>
      <c r="K53" s="63" t="s">
        <v>198</v>
      </c>
      <c r="L53" s="62">
        <v>2</v>
      </c>
      <c r="M53" s="38">
        <v>753854.95</v>
      </c>
      <c r="N53" s="5"/>
      <c r="O53" s="64"/>
    </row>
    <row r="54" spans="1:16">
      <c r="A54" s="15" t="s">
        <v>146</v>
      </c>
      <c r="B54" s="25" t="s">
        <v>85</v>
      </c>
      <c r="C54" s="42">
        <v>2112</v>
      </c>
      <c r="D54" s="9">
        <v>41434</v>
      </c>
      <c r="E54" s="12" t="s">
        <v>77</v>
      </c>
      <c r="F54" s="10">
        <v>5450.3</v>
      </c>
      <c r="G54" s="10">
        <v>3783.19</v>
      </c>
      <c r="H54" s="10">
        <v>340643.86</v>
      </c>
      <c r="I54" s="62">
        <v>0.5</v>
      </c>
      <c r="K54" s="63" t="s">
        <v>290</v>
      </c>
      <c r="L54" s="62">
        <v>3.5</v>
      </c>
      <c r="M54" s="38">
        <v>1664863.15</v>
      </c>
      <c r="N54" s="5"/>
    </row>
    <row r="55" spans="1:16">
      <c r="A55" s="15" t="s">
        <v>145</v>
      </c>
      <c r="B55" s="25" t="s">
        <v>85</v>
      </c>
      <c r="C55" s="39">
        <v>1508</v>
      </c>
      <c r="D55" s="12">
        <v>41437</v>
      </c>
      <c r="E55" s="12" t="s">
        <v>77</v>
      </c>
      <c r="F55" s="10">
        <v>3149.6</v>
      </c>
      <c r="G55" s="10">
        <v>0</v>
      </c>
      <c r="H55" s="10">
        <v>196850</v>
      </c>
      <c r="I55" s="62">
        <v>0.5</v>
      </c>
      <c r="K55" s="63" t="s">
        <v>284</v>
      </c>
      <c r="L55" s="62">
        <v>1</v>
      </c>
      <c r="M55" s="38">
        <v>512328.88</v>
      </c>
      <c r="N55" s="5"/>
    </row>
    <row r="56" spans="1:16">
      <c r="A56" s="15" t="s">
        <v>145</v>
      </c>
      <c r="B56" s="25" t="s">
        <v>85</v>
      </c>
      <c r="C56" s="39">
        <v>508</v>
      </c>
      <c r="D56" s="12">
        <v>41437</v>
      </c>
      <c r="E56" s="12" t="s">
        <v>77</v>
      </c>
      <c r="F56" s="10">
        <v>3043.2</v>
      </c>
      <c r="G56" s="10">
        <v>0</v>
      </c>
      <c r="H56" s="10">
        <v>190200</v>
      </c>
      <c r="I56" s="62">
        <v>0.5</v>
      </c>
      <c r="K56" s="63" t="s">
        <v>263</v>
      </c>
      <c r="L56" s="62">
        <v>1</v>
      </c>
      <c r="M56" s="38">
        <v>511460.85</v>
      </c>
      <c r="N56" s="5"/>
    </row>
    <row r="57" spans="1:16">
      <c r="A57" s="15" t="s">
        <v>270</v>
      </c>
      <c r="B57" s="25" t="s">
        <v>272</v>
      </c>
      <c r="C57" s="39">
        <v>31</v>
      </c>
      <c r="D57" s="9">
        <v>41451</v>
      </c>
      <c r="E57" s="12" t="s">
        <v>55</v>
      </c>
      <c r="F57" s="10">
        <v>5225.7700000000004</v>
      </c>
      <c r="G57" s="10">
        <v>2645.55</v>
      </c>
      <c r="H57" s="10">
        <v>326610.53000000003</v>
      </c>
      <c r="I57" s="34">
        <v>0.5</v>
      </c>
      <c r="K57" s="63" t="s">
        <v>286</v>
      </c>
      <c r="L57" s="62">
        <v>0.5</v>
      </c>
      <c r="M57" s="38">
        <v>225312.27</v>
      </c>
      <c r="N57" s="5"/>
      <c r="O57" s="50"/>
    </row>
    <row r="58" spans="1:16">
      <c r="A58" s="15" t="s">
        <v>270</v>
      </c>
      <c r="B58" s="25" t="s">
        <v>271</v>
      </c>
      <c r="C58" s="39">
        <v>32</v>
      </c>
      <c r="D58" s="9">
        <v>41452</v>
      </c>
      <c r="E58" s="12" t="s">
        <v>55</v>
      </c>
      <c r="F58" s="10">
        <v>3559.53</v>
      </c>
      <c r="G58" s="10">
        <v>1802.01</v>
      </c>
      <c r="H58" s="10">
        <v>222470.45</v>
      </c>
      <c r="I58" s="34">
        <v>0.5</v>
      </c>
      <c r="K58" s="63" t="s">
        <v>239</v>
      </c>
      <c r="L58" s="62">
        <v>1</v>
      </c>
      <c r="M58" s="38">
        <v>374700</v>
      </c>
      <c r="N58" s="5"/>
    </row>
    <row r="59" spans="1:16">
      <c r="A59" s="15" t="s">
        <v>270</v>
      </c>
      <c r="B59" s="25" t="s">
        <v>273</v>
      </c>
      <c r="C59" s="39">
        <v>87</v>
      </c>
      <c r="D59" s="9">
        <v>41451</v>
      </c>
      <c r="E59" s="12" t="s">
        <v>55</v>
      </c>
      <c r="F59" s="10">
        <v>7725.09</v>
      </c>
      <c r="G59" s="10">
        <v>3910.83</v>
      </c>
      <c r="H59" s="10">
        <v>482818.43</v>
      </c>
      <c r="I59" s="34">
        <v>1</v>
      </c>
      <c r="K59" s="20" t="s">
        <v>262</v>
      </c>
      <c r="L59" s="61">
        <v>1</v>
      </c>
      <c r="M59" s="38">
        <v>241840</v>
      </c>
      <c r="N59" s="5"/>
      <c r="O59" s="64"/>
    </row>
    <row r="60" spans="1:16">
      <c r="A60" s="15" t="s">
        <v>81</v>
      </c>
      <c r="B60" s="25" t="s">
        <v>85</v>
      </c>
      <c r="C60" s="39">
        <v>101</v>
      </c>
      <c r="D60" s="9">
        <v>41453</v>
      </c>
      <c r="E60" s="12" t="s">
        <v>266</v>
      </c>
      <c r="F60" s="10">
        <f>H60*2%</f>
        <v>10143.6</v>
      </c>
      <c r="G60" s="10">
        <f>12730.22-F60</f>
        <v>2586.619999999999</v>
      </c>
      <c r="H60" s="10">
        <v>507180</v>
      </c>
      <c r="I60" s="62">
        <v>1</v>
      </c>
      <c r="K60" s="20" t="s">
        <v>34</v>
      </c>
      <c r="L60" s="61">
        <v>1</v>
      </c>
      <c r="M60" s="38">
        <v>228000</v>
      </c>
      <c r="N60" s="5"/>
    </row>
    <row r="61" spans="1:16">
      <c r="A61" s="15" t="s">
        <v>81</v>
      </c>
      <c r="B61" s="25" t="s">
        <v>85</v>
      </c>
      <c r="C61" s="39">
        <v>131</v>
      </c>
      <c r="D61" s="9">
        <v>41453</v>
      </c>
      <c r="E61" s="12" t="s">
        <v>266</v>
      </c>
      <c r="F61" s="10">
        <f>H61*2%</f>
        <v>10353.219999999999</v>
      </c>
      <c r="G61" s="10">
        <f>13303.89-F61</f>
        <v>2950.67</v>
      </c>
      <c r="H61" s="10">
        <v>517661</v>
      </c>
      <c r="I61" s="62">
        <v>1</v>
      </c>
      <c r="K61" s="63" t="s">
        <v>52</v>
      </c>
      <c r="L61" s="62">
        <v>1</v>
      </c>
      <c r="M61" s="38">
        <v>2300000</v>
      </c>
      <c r="N61" s="5"/>
      <c r="O61" s="64"/>
      <c r="P61" s="5">
        <f>N61</f>
        <v>0</v>
      </c>
    </row>
    <row r="62" spans="1:16">
      <c r="A62" s="15" t="s">
        <v>116</v>
      </c>
      <c r="B62" s="25" t="s">
        <v>136</v>
      </c>
      <c r="C62" s="39">
        <v>135</v>
      </c>
      <c r="D62" s="9">
        <v>41436</v>
      </c>
      <c r="E62" s="12" t="s">
        <v>181</v>
      </c>
      <c r="F62" s="10">
        <v>9946.2900000000009</v>
      </c>
      <c r="G62" s="10">
        <v>0</v>
      </c>
      <c r="H62" s="10">
        <v>248657.21</v>
      </c>
      <c r="I62" s="62">
        <v>1</v>
      </c>
      <c r="K62" s="63" t="s">
        <v>298</v>
      </c>
      <c r="L62" s="62">
        <v>0.5</v>
      </c>
      <c r="M62" s="38">
        <v>222914.63</v>
      </c>
      <c r="N62" s="5"/>
      <c r="O62" s="64"/>
    </row>
    <row r="63" spans="1:16">
      <c r="A63" s="15" t="s">
        <v>138</v>
      </c>
      <c r="B63" s="25" t="s">
        <v>249</v>
      </c>
      <c r="C63" s="39">
        <v>75</v>
      </c>
      <c r="D63" s="9">
        <v>41442</v>
      </c>
      <c r="E63" s="12" t="s">
        <v>181</v>
      </c>
      <c r="F63" s="10">
        <v>6299.38</v>
      </c>
      <c r="G63" s="10">
        <v>0</v>
      </c>
      <c r="H63" s="10">
        <v>185276</v>
      </c>
      <c r="I63" s="62">
        <v>1</v>
      </c>
      <c r="K63" s="63" t="s">
        <v>84</v>
      </c>
      <c r="L63" s="62">
        <v>1</v>
      </c>
      <c r="M63" s="38">
        <v>398919.4</v>
      </c>
      <c r="N63" s="5"/>
    </row>
    <row r="64" spans="1:16">
      <c r="A64" s="15" t="s">
        <v>270</v>
      </c>
      <c r="B64" s="25" t="s">
        <v>271</v>
      </c>
      <c r="C64" s="39">
        <v>87</v>
      </c>
      <c r="D64" s="12">
        <v>41451</v>
      </c>
      <c r="E64" s="12" t="s">
        <v>181</v>
      </c>
      <c r="F64" s="10">
        <v>4193.8500000000004</v>
      </c>
      <c r="G64" s="10">
        <v>1592.35</v>
      </c>
      <c r="H64" s="10">
        <v>262115.65</v>
      </c>
      <c r="I64" s="34">
        <v>0.5</v>
      </c>
      <c r="K64" s="63"/>
      <c r="L64" s="62"/>
      <c r="M64" s="38"/>
      <c r="N64" s="5"/>
    </row>
    <row r="65" spans="1:16">
      <c r="A65" s="15" t="s">
        <v>270</v>
      </c>
      <c r="B65" s="25" t="s">
        <v>271</v>
      </c>
      <c r="C65" s="39">
        <v>84</v>
      </c>
      <c r="D65" s="9">
        <v>41455</v>
      </c>
      <c r="E65" s="12" t="s">
        <v>181</v>
      </c>
      <c r="F65" s="10">
        <v>6440</v>
      </c>
      <c r="G65" s="10">
        <v>2716.88</v>
      </c>
      <c r="H65" s="10">
        <v>402500</v>
      </c>
      <c r="I65" s="34">
        <v>1</v>
      </c>
      <c r="K65" s="63"/>
      <c r="L65" s="62"/>
      <c r="M65" s="38"/>
      <c r="N65" s="5"/>
      <c r="O65" s="64"/>
    </row>
    <row r="66" spans="1:16">
      <c r="A66" s="15" t="s">
        <v>270</v>
      </c>
      <c r="B66" s="25" t="s">
        <v>271</v>
      </c>
      <c r="C66" s="39">
        <v>65</v>
      </c>
      <c r="D66" s="9">
        <v>41451</v>
      </c>
      <c r="E66" s="12" t="s">
        <v>181</v>
      </c>
      <c r="F66" s="10">
        <v>6427.41</v>
      </c>
      <c r="G66" s="10">
        <v>2711.56</v>
      </c>
      <c r="H66" s="10">
        <v>401713.27</v>
      </c>
      <c r="I66" s="34">
        <v>1</v>
      </c>
      <c r="K66" s="63"/>
      <c r="L66" s="62"/>
      <c r="M66" s="38"/>
    </row>
    <row r="67" spans="1:16">
      <c r="A67" s="15" t="s">
        <v>270</v>
      </c>
      <c r="B67" s="25" t="s">
        <v>273</v>
      </c>
      <c r="C67" s="39">
        <v>57</v>
      </c>
      <c r="D67" s="12">
        <v>41450</v>
      </c>
      <c r="E67" s="12" t="s">
        <v>181</v>
      </c>
      <c r="F67" s="10">
        <v>8008.45</v>
      </c>
      <c r="G67" s="10">
        <v>3378.57</v>
      </c>
      <c r="H67" s="10">
        <v>500528.43</v>
      </c>
      <c r="I67" s="34">
        <v>1</v>
      </c>
      <c r="K67" s="63"/>
      <c r="L67" s="62"/>
      <c r="M67" s="38"/>
      <c r="O67" s="64"/>
    </row>
    <row r="68" spans="1:16">
      <c r="A68" s="15" t="s">
        <v>270</v>
      </c>
      <c r="B68" s="25" t="s">
        <v>271</v>
      </c>
      <c r="C68" s="39">
        <v>54</v>
      </c>
      <c r="D68" s="9">
        <v>41452</v>
      </c>
      <c r="E68" s="12" t="s">
        <v>181</v>
      </c>
      <c r="F68" s="10">
        <v>6298.05</v>
      </c>
      <c r="G68" s="10">
        <v>2656.99</v>
      </c>
      <c r="H68" s="10">
        <v>393628.07</v>
      </c>
      <c r="I68" s="62">
        <v>1</v>
      </c>
      <c r="K68" s="63"/>
      <c r="L68" s="62"/>
      <c r="M68" s="38"/>
    </row>
    <row r="69" spans="1:16">
      <c r="A69" s="15" t="s">
        <v>270</v>
      </c>
      <c r="B69" s="25" t="s">
        <v>273</v>
      </c>
      <c r="C69" s="39">
        <v>46</v>
      </c>
      <c r="D69" s="9">
        <v>41450</v>
      </c>
      <c r="E69" s="12" t="s">
        <v>181</v>
      </c>
      <c r="F69" s="10">
        <v>7783.55</v>
      </c>
      <c r="G69" s="10">
        <v>3283.68</v>
      </c>
      <c r="H69" s="10">
        <v>486471.79</v>
      </c>
      <c r="I69" s="34">
        <v>1</v>
      </c>
      <c r="K69" s="63"/>
      <c r="L69" s="62"/>
      <c r="M69" s="38"/>
    </row>
    <row r="70" spans="1:16">
      <c r="A70" s="15" t="s">
        <v>138</v>
      </c>
      <c r="B70" s="25" t="s">
        <v>300</v>
      </c>
      <c r="C70" s="39">
        <v>35</v>
      </c>
      <c r="D70" s="9">
        <v>41453</v>
      </c>
      <c r="E70" s="12" t="s">
        <v>301</v>
      </c>
      <c r="F70" s="10">
        <v>7559.33</v>
      </c>
      <c r="G70" s="10">
        <v>0</v>
      </c>
      <c r="H70" s="10">
        <v>222333.29</v>
      </c>
      <c r="I70" s="34">
        <v>1</v>
      </c>
      <c r="K70" s="63"/>
      <c r="L70" s="62"/>
      <c r="M70" s="38"/>
    </row>
    <row r="71" spans="1:16">
      <c r="A71" s="15" t="s">
        <v>270</v>
      </c>
      <c r="B71" s="25" t="s">
        <v>273</v>
      </c>
      <c r="C71" s="42">
        <v>13</v>
      </c>
      <c r="D71" s="9">
        <v>41452</v>
      </c>
      <c r="E71" s="12" t="s">
        <v>252</v>
      </c>
      <c r="F71" s="10">
        <v>3566.63</v>
      </c>
      <c r="G71" s="10">
        <v>1354.21</v>
      </c>
      <c r="H71" s="10">
        <v>222914.63</v>
      </c>
      <c r="I71" s="62">
        <v>0.5</v>
      </c>
      <c r="K71" s="63"/>
      <c r="L71" s="62"/>
      <c r="M71" s="38"/>
      <c r="N71" s="5"/>
      <c r="O71" s="64"/>
    </row>
    <row r="72" spans="1:16">
      <c r="A72" s="15" t="s">
        <v>146</v>
      </c>
      <c r="B72" s="25" t="s">
        <v>82</v>
      </c>
      <c r="C72" s="39">
        <v>1316</v>
      </c>
      <c r="D72" s="12">
        <v>41441</v>
      </c>
      <c r="E72" s="12" t="s">
        <v>252</v>
      </c>
      <c r="F72" s="10">
        <v>6305.93</v>
      </c>
      <c r="G72" s="10">
        <v>3645.62</v>
      </c>
      <c r="H72" s="10">
        <v>394120.81</v>
      </c>
      <c r="I72" s="62">
        <v>1</v>
      </c>
      <c r="K72" s="63"/>
      <c r="L72" s="62"/>
      <c r="M72" s="38"/>
      <c r="N72" s="5"/>
      <c r="O72" s="64"/>
    </row>
    <row r="73" spans="1:16">
      <c r="A73" s="15" t="s">
        <v>270</v>
      </c>
      <c r="B73" s="25" t="s">
        <v>278</v>
      </c>
      <c r="C73" s="39">
        <v>83</v>
      </c>
      <c r="D73" s="9">
        <v>41451</v>
      </c>
      <c r="E73" s="12" t="s">
        <v>252</v>
      </c>
      <c r="F73" s="10">
        <v>10708.63</v>
      </c>
      <c r="G73" s="10">
        <v>2844.48</v>
      </c>
      <c r="H73" s="10">
        <v>669289.18000000005</v>
      </c>
      <c r="I73" s="34">
        <v>1</v>
      </c>
      <c r="K73" s="63"/>
      <c r="L73" s="62"/>
      <c r="M73" s="38"/>
      <c r="N73" s="5"/>
      <c r="O73" s="50"/>
    </row>
    <row r="74" spans="1:16" s="7" customFormat="1">
      <c r="A74" s="15" t="s">
        <v>145</v>
      </c>
      <c r="B74" s="25" t="s">
        <v>85</v>
      </c>
      <c r="C74" s="39">
        <v>1716</v>
      </c>
      <c r="D74" s="9">
        <v>41453</v>
      </c>
      <c r="E74" s="12" t="s">
        <v>252</v>
      </c>
      <c r="F74" s="10">
        <v>6482.74</v>
      </c>
      <c r="G74" s="10">
        <v>3747.83</v>
      </c>
      <c r="H74" s="10">
        <v>405170.97</v>
      </c>
      <c r="I74" s="34">
        <v>1</v>
      </c>
      <c r="K74" s="63"/>
      <c r="L74" s="62"/>
      <c r="M74" s="38"/>
    </row>
    <row r="75" spans="1:16" s="7" customFormat="1">
      <c r="A75" s="15" t="s">
        <v>299</v>
      </c>
      <c r="B75" s="25" t="s">
        <v>85</v>
      </c>
      <c r="C75" s="39">
        <v>203</v>
      </c>
      <c r="D75" s="9">
        <v>41455</v>
      </c>
      <c r="E75" s="12" t="s">
        <v>252</v>
      </c>
      <c r="F75" s="10">
        <v>14868</v>
      </c>
      <c r="G75" s="10">
        <v>0</v>
      </c>
      <c r="H75" s="10">
        <v>371700</v>
      </c>
      <c r="I75" s="34">
        <v>1</v>
      </c>
      <c r="K75" s="17"/>
      <c r="L75" s="44"/>
      <c r="M75" s="16"/>
    </row>
    <row r="76" spans="1:16" s="7" customFormat="1">
      <c r="A76" s="15" t="s">
        <v>270</v>
      </c>
      <c r="B76" s="25" t="s">
        <v>278</v>
      </c>
      <c r="C76" s="39">
        <v>34</v>
      </c>
      <c r="D76" s="9">
        <v>41455</v>
      </c>
      <c r="E76" s="12" t="s">
        <v>304</v>
      </c>
      <c r="F76" s="10">
        <v>10142.64</v>
      </c>
      <c r="G76" s="10">
        <v>5134.71</v>
      </c>
      <c r="H76" s="10">
        <v>633914.91</v>
      </c>
      <c r="I76" s="62">
        <v>1</v>
      </c>
      <c r="J76" s="62"/>
      <c r="K76" s="18" t="s">
        <v>12</v>
      </c>
      <c r="L76" s="70">
        <f>SUM(L4:L75)</f>
        <v>80.5</v>
      </c>
      <c r="M76" s="19">
        <f>SUM(M4:M75)</f>
        <v>39930728.970000006</v>
      </c>
      <c r="O76" s="64"/>
      <c r="P76" s="6"/>
    </row>
    <row r="77" spans="1:16" s="7" customFormat="1">
      <c r="A77" s="15" t="s">
        <v>146</v>
      </c>
      <c r="B77" s="25" t="s">
        <v>85</v>
      </c>
      <c r="C77" s="42">
        <v>2610</v>
      </c>
      <c r="D77" s="9">
        <v>41430</v>
      </c>
      <c r="E77" s="12" t="s">
        <v>180</v>
      </c>
      <c r="F77" s="10">
        <v>3267.2</v>
      </c>
      <c r="G77" s="10">
        <v>1188.44</v>
      </c>
      <c r="H77" s="10">
        <v>204200</v>
      </c>
      <c r="I77" s="62">
        <v>0.5</v>
      </c>
      <c r="K77" s="1"/>
      <c r="L77" s="1"/>
      <c r="M77" s="1"/>
      <c r="O77" s="64"/>
      <c r="P77" s="64"/>
    </row>
    <row r="78" spans="1:16" s="7" customFormat="1">
      <c r="A78" s="15" t="s">
        <v>270</v>
      </c>
      <c r="B78" s="25" t="s">
        <v>271</v>
      </c>
      <c r="C78" s="39">
        <v>74</v>
      </c>
      <c r="D78" s="9">
        <v>41451</v>
      </c>
      <c r="E78" s="12" t="s">
        <v>302</v>
      </c>
      <c r="F78" s="10">
        <v>6451.27</v>
      </c>
      <c r="G78" s="10">
        <v>3265.96</v>
      </c>
      <c r="H78" s="10">
        <v>403204.43</v>
      </c>
      <c r="I78" s="34">
        <v>1</v>
      </c>
      <c r="K78" s="284" t="s">
        <v>30</v>
      </c>
      <c r="L78" s="285"/>
      <c r="M78" s="286"/>
      <c r="P78" s="64"/>
    </row>
    <row r="79" spans="1:16" s="7" customFormat="1">
      <c r="A79" s="15" t="s">
        <v>270</v>
      </c>
      <c r="B79" s="25" t="s">
        <v>272</v>
      </c>
      <c r="C79" s="39">
        <v>64</v>
      </c>
      <c r="D79" s="9">
        <v>41450</v>
      </c>
      <c r="E79" s="12" t="s">
        <v>302</v>
      </c>
      <c r="F79" s="10">
        <v>10659.52</v>
      </c>
      <c r="G79" s="10">
        <v>5396.38</v>
      </c>
      <c r="H79" s="10">
        <v>666220.05000000005</v>
      </c>
      <c r="I79" s="34">
        <v>1</v>
      </c>
      <c r="K79" s="8" t="s">
        <v>4</v>
      </c>
      <c r="L79" s="8" t="s">
        <v>5</v>
      </c>
      <c r="M79" s="8" t="s">
        <v>3</v>
      </c>
    </row>
    <row r="80" spans="1:16" s="7" customFormat="1">
      <c r="A80" s="15" t="s">
        <v>270</v>
      </c>
      <c r="B80" s="25" t="s">
        <v>273</v>
      </c>
      <c r="C80" s="39">
        <v>58</v>
      </c>
      <c r="D80" s="9">
        <v>41452</v>
      </c>
      <c r="E80" s="12" t="s">
        <v>302</v>
      </c>
      <c r="F80" s="10">
        <v>6103.57</v>
      </c>
      <c r="G80" s="10">
        <v>3089.93</v>
      </c>
      <c r="H80" s="10">
        <v>381473</v>
      </c>
      <c r="I80" s="34">
        <v>1</v>
      </c>
      <c r="K80" s="47" t="s">
        <v>12</v>
      </c>
      <c r="L80" s="48">
        <f>SUM(L81:L83)</f>
        <v>13</v>
      </c>
      <c r="M80" s="49">
        <f>SUM(M77:M79)</f>
        <v>0</v>
      </c>
    </row>
    <row r="81" spans="1:13" s="7" customFormat="1">
      <c r="A81" s="15" t="s">
        <v>270</v>
      </c>
      <c r="B81" s="25" t="s">
        <v>201</v>
      </c>
      <c r="C81" s="42" t="s">
        <v>303</v>
      </c>
      <c r="D81" s="9">
        <v>41451</v>
      </c>
      <c r="E81" s="12" t="s">
        <v>302</v>
      </c>
      <c r="F81" s="10">
        <v>480</v>
      </c>
      <c r="G81" s="10">
        <v>0</v>
      </c>
      <c r="H81" s="10">
        <v>30000</v>
      </c>
      <c r="I81" s="62">
        <v>1</v>
      </c>
      <c r="K81" s="12" t="s">
        <v>156</v>
      </c>
      <c r="L81" s="61">
        <f>SUM(I71:I75)</f>
        <v>4.5</v>
      </c>
      <c r="M81" s="43">
        <f>SUM(H71:H75)</f>
        <v>2063195.59</v>
      </c>
    </row>
    <row r="82" spans="1:13" s="7" customFormat="1">
      <c r="A82" s="15" t="s">
        <v>270</v>
      </c>
      <c r="B82" s="25" t="s">
        <v>278</v>
      </c>
      <c r="C82" s="39">
        <v>74</v>
      </c>
      <c r="D82" s="9">
        <v>41450</v>
      </c>
      <c r="E82" s="12" t="s">
        <v>297</v>
      </c>
      <c r="F82" s="10">
        <v>10344.469999999999</v>
      </c>
      <c r="G82" s="10">
        <v>5236.8900000000003</v>
      </c>
      <c r="H82" s="10">
        <v>646529.66</v>
      </c>
      <c r="I82" s="34">
        <v>1</v>
      </c>
      <c r="K82" s="12" t="s">
        <v>135</v>
      </c>
      <c r="L82" s="41">
        <f>SUM(I62:I69)</f>
        <v>7.5</v>
      </c>
      <c r="M82" s="10">
        <f>SUM(H62:H69)</f>
        <v>2880890.42</v>
      </c>
    </row>
    <row r="83" spans="1:13" s="7" customFormat="1" ht="13.5" customHeight="1">
      <c r="A83" s="15" t="s">
        <v>146</v>
      </c>
      <c r="B83" s="25" t="s">
        <v>85</v>
      </c>
      <c r="C83" s="42">
        <v>2112</v>
      </c>
      <c r="D83" s="9">
        <v>41434</v>
      </c>
      <c r="E83" s="12" t="s">
        <v>78</v>
      </c>
      <c r="F83" s="10">
        <v>5450.3</v>
      </c>
      <c r="G83" s="10">
        <v>3783.19</v>
      </c>
      <c r="H83" s="10">
        <v>340643.86</v>
      </c>
      <c r="I83" s="62">
        <v>0.5</v>
      </c>
      <c r="K83" s="12" t="s">
        <v>157</v>
      </c>
      <c r="L83" s="41">
        <v>1</v>
      </c>
      <c r="M83" s="43">
        <f>H70</f>
        <v>222333.29</v>
      </c>
    </row>
    <row r="84" spans="1:13" s="7" customFormat="1">
      <c r="A84" s="15" t="s">
        <v>145</v>
      </c>
      <c r="B84" s="25" t="s">
        <v>85</v>
      </c>
      <c r="C84" s="39">
        <v>1508</v>
      </c>
      <c r="D84" s="12">
        <v>41437</v>
      </c>
      <c r="E84" s="12" t="s">
        <v>78</v>
      </c>
      <c r="F84" s="10">
        <v>3149.6</v>
      </c>
      <c r="G84" s="10">
        <v>0</v>
      </c>
      <c r="H84" s="10">
        <v>196850</v>
      </c>
      <c r="I84" s="62">
        <v>0.5</v>
      </c>
      <c r="K84" s="47" t="s">
        <v>12</v>
      </c>
      <c r="L84" s="48">
        <f>SUM(L81:L83)</f>
        <v>13</v>
      </c>
      <c r="M84" s="49">
        <f>SUM(M81:M83)</f>
        <v>5166419.3</v>
      </c>
    </row>
    <row r="85" spans="1:13" s="7" customFormat="1">
      <c r="A85" s="15" t="s">
        <v>145</v>
      </c>
      <c r="B85" s="25" t="s">
        <v>85</v>
      </c>
      <c r="C85" s="39">
        <v>508</v>
      </c>
      <c r="D85" s="12">
        <v>41437</v>
      </c>
      <c r="E85" s="12" t="s">
        <v>78</v>
      </c>
      <c r="F85" s="10">
        <v>3043.2</v>
      </c>
      <c r="G85" s="10">
        <v>0</v>
      </c>
      <c r="H85" s="10">
        <v>190200</v>
      </c>
      <c r="I85" s="62">
        <v>0.5</v>
      </c>
    </row>
    <row r="86" spans="1:13" s="7" customFormat="1">
      <c r="A86" s="15" t="s">
        <v>270</v>
      </c>
      <c r="B86" s="25" t="s">
        <v>273</v>
      </c>
      <c r="C86" s="39">
        <v>33</v>
      </c>
      <c r="D86" s="9">
        <v>41455</v>
      </c>
      <c r="E86" s="12" t="s">
        <v>78</v>
      </c>
      <c r="F86" s="10">
        <v>3533.2</v>
      </c>
      <c r="G86" s="10">
        <v>1126.21</v>
      </c>
      <c r="H86" s="10">
        <v>220825</v>
      </c>
      <c r="I86" s="62">
        <v>0.5</v>
      </c>
      <c r="K86" s="284" t="s">
        <v>14</v>
      </c>
      <c r="L86" s="285"/>
      <c r="M86" s="286"/>
    </row>
    <row r="87" spans="1:13" s="7" customFormat="1">
      <c r="A87" s="15" t="s">
        <v>270</v>
      </c>
      <c r="B87" s="25" t="s">
        <v>278</v>
      </c>
      <c r="C87" s="39">
        <v>22</v>
      </c>
      <c r="D87" s="9">
        <v>41455</v>
      </c>
      <c r="E87" s="12" t="s">
        <v>279</v>
      </c>
      <c r="F87" s="10">
        <v>10220.74</v>
      </c>
      <c r="G87" s="10">
        <v>5174.25</v>
      </c>
      <c r="H87" s="10">
        <v>638796</v>
      </c>
      <c r="I87" s="62">
        <v>1</v>
      </c>
      <c r="K87" s="8" t="s">
        <v>4</v>
      </c>
      <c r="L87" s="8" t="s">
        <v>5</v>
      </c>
      <c r="M87" s="8" t="s">
        <v>3</v>
      </c>
    </row>
    <row r="88" spans="1:13" s="7" customFormat="1">
      <c r="A88" s="15" t="s">
        <v>270</v>
      </c>
      <c r="B88" s="25" t="s">
        <v>271</v>
      </c>
      <c r="C88" s="39">
        <v>2</v>
      </c>
      <c r="D88" s="9">
        <v>41455</v>
      </c>
      <c r="E88" s="12" t="s">
        <v>196</v>
      </c>
      <c r="F88" s="10">
        <v>3894.8</v>
      </c>
      <c r="G88" s="10">
        <v>1971.74</v>
      </c>
      <c r="H88" s="10">
        <v>243425</v>
      </c>
      <c r="I88" s="34">
        <v>0.5</v>
      </c>
      <c r="K88" s="12" t="s">
        <v>133</v>
      </c>
      <c r="L88" s="46"/>
      <c r="M88" s="36"/>
    </row>
    <row r="89" spans="1:13" s="7" customFormat="1">
      <c r="A89" s="15" t="s">
        <v>270</v>
      </c>
      <c r="B89" s="25" t="s">
        <v>273</v>
      </c>
      <c r="C89" s="42">
        <v>48</v>
      </c>
      <c r="D89" s="9">
        <v>41450</v>
      </c>
      <c r="E89" s="12" t="s">
        <v>289</v>
      </c>
      <c r="F89" s="10">
        <v>3072.84</v>
      </c>
      <c r="G89" s="10">
        <v>1555.62</v>
      </c>
      <c r="H89" s="10">
        <v>192052.43</v>
      </c>
      <c r="I89" s="62">
        <v>0.5</v>
      </c>
      <c r="K89" s="12" t="s">
        <v>144</v>
      </c>
      <c r="L89" s="46"/>
      <c r="M89" s="36"/>
    </row>
    <row r="90" spans="1:13" s="7" customFormat="1">
      <c r="A90" s="15" t="s">
        <v>270</v>
      </c>
      <c r="B90" s="25" t="s">
        <v>273</v>
      </c>
      <c r="C90" s="42">
        <v>28</v>
      </c>
      <c r="D90" s="9">
        <v>41450</v>
      </c>
      <c r="E90" s="12" t="s">
        <v>289</v>
      </c>
      <c r="F90" s="10">
        <v>3011.69</v>
      </c>
      <c r="G90" s="10">
        <v>1524.67</v>
      </c>
      <c r="H90" s="10">
        <v>188230.72</v>
      </c>
      <c r="I90" s="62">
        <v>0.5</v>
      </c>
      <c r="K90" s="40"/>
      <c r="L90" s="46"/>
      <c r="M90" s="36"/>
    </row>
    <row r="91" spans="1:13" s="7" customFormat="1">
      <c r="A91" s="15" t="s">
        <v>270</v>
      </c>
      <c r="B91" s="25" t="s">
        <v>272</v>
      </c>
      <c r="C91" s="42">
        <v>23</v>
      </c>
      <c r="D91" s="9">
        <v>41455</v>
      </c>
      <c r="E91" s="42" t="s">
        <v>19</v>
      </c>
      <c r="F91" s="10">
        <v>0</v>
      </c>
      <c r="G91" s="10">
        <v>0</v>
      </c>
      <c r="H91" s="10">
        <v>604850</v>
      </c>
      <c r="I91" s="62">
        <v>1</v>
      </c>
      <c r="K91" s="47" t="s">
        <v>12</v>
      </c>
      <c r="L91" s="48">
        <f>SUM(L88:L90)</f>
        <v>0</v>
      </c>
      <c r="M91" s="49">
        <f>SUM(M88:M90)</f>
        <v>0</v>
      </c>
    </row>
    <row r="92" spans="1:13" s="7" customFormat="1">
      <c r="A92" s="11" t="s">
        <v>269</v>
      </c>
      <c r="B92" s="25" t="s">
        <v>85</v>
      </c>
      <c r="C92" s="25">
        <v>151</v>
      </c>
      <c r="D92" s="98">
        <v>41439</v>
      </c>
      <c r="E92" s="25" t="s">
        <v>267</v>
      </c>
      <c r="F92" s="105">
        <v>20947.29</v>
      </c>
      <c r="G92" s="105">
        <v>0</v>
      </c>
      <c r="H92" s="105">
        <v>568250</v>
      </c>
      <c r="I92" s="25">
        <v>0.25</v>
      </c>
      <c r="K92"/>
      <c r="L92" s="45"/>
      <c r="M92" s="6"/>
    </row>
    <row r="93" spans="1:13" s="7" customFormat="1">
      <c r="A93" s="15" t="s">
        <v>270</v>
      </c>
      <c r="B93" s="25" t="s">
        <v>271</v>
      </c>
      <c r="C93" s="39">
        <v>5</v>
      </c>
      <c r="D93" s="9">
        <v>41455</v>
      </c>
      <c r="E93" s="12" t="s">
        <v>277</v>
      </c>
      <c r="F93" s="10">
        <v>6173.12</v>
      </c>
      <c r="G93" s="10">
        <v>3125.14</v>
      </c>
      <c r="H93" s="10">
        <v>385819.99</v>
      </c>
      <c r="I93" s="62">
        <v>1</v>
      </c>
      <c r="K93"/>
      <c r="L93"/>
      <c r="M93"/>
    </row>
    <row r="94" spans="1:13" s="7" customFormat="1">
      <c r="A94" s="15" t="s">
        <v>270</v>
      </c>
      <c r="B94" s="25" t="s">
        <v>273</v>
      </c>
      <c r="C94" s="42">
        <v>53</v>
      </c>
      <c r="D94" s="9">
        <v>41451</v>
      </c>
      <c r="E94" s="12" t="s">
        <v>277</v>
      </c>
      <c r="F94" s="10">
        <v>7664.83</v>
      </c>
      <c r="G94" s="10">
        <v>3880.32</v>
      </c>
      <c r="H94" s="10">
        <v>479051.8</v>
      </c>
      <c r="I94" s="62">
        <v>1</v>
      </c>
      <c r="K94"/>
      <c r="L94"/>
      <c r="M94"/>
    </row>
    <row r="95" spans="1:13" s="7" customFormat="1">
      <c r="A95" s="15" t="s">
        <v>258</v>
      </c>
      <c r="B95" s="25" t="s">
        <v>85</v>
      </c>
      <c r="C95" s="39">
        <v>93</v>
      </c>
      <c r="D95" s="9">
        <v>41444</v>
      </c>
      <c r="E95" s="12" t="s">
        <v>43</v>
      </c>
      <c r="F95" s="10">
        <v>12600</v>
      </c>
      <c r="G95" s="10">
        <v>0</v>
      </c>
      <c r="H95" s="10">
        <v>630000</v>
      </c>
      <c r="I95" s="62">
        <v>1</v>
      </c>
    </row>
    <row r="96" spans="1:13" s="7" customFormat="1">
      <c r="A96" s="15" t="s">
        <v>57</v>
      </c>
      <c r="B96" s="25" t="s">
        <v>85</v>
      </c>
      <c r="C96" s="42">
        <v>196</v>
      </c>
      <c r="D96" s="9">
        <v>41439</v>
      </c>
      <c r="E96" s="12" t="s">
        <v>253</v>
      </c>
      <c r="F96" s="10">
        <v>6670.29</v>
      </c>
      <c r="G96" s="10">
        <v>0</v>
      </c>
      <c r="H96" s="10">
        <v>333514.5</v>
      </c>
      <c r="I96" s="62">
        <v>1</v>
      </c>
    </row>
    <row r="97" spans="1:13" s="7" customFormat="1">
      <c r="A97" s="15" t="s">
        <v>270</v>
      </c>
      <c r="B97" s="25" t="s">
        <v>273</v>
      </c>
      <c r="C97" s="39">
        <v>24</v>
      </c>
      <c r="D97" s="9">
        <v>41452</v>
      </c>
      <c r="E97" s="12" t="s">
        <v>305</v>
      </c>
      <c r="F97" s="10">
        <v>5296.8</v>
      </c>
      <c r="G97" s="10">
        <v>2681.51</v>
      </c>
      <c r="H97" s="10">
        <v>331050</v>
      </c>
      <c r="I97" s="62">
        <v>1</v>
      </c>
      <c r="K97" s="64"/>
      <c r="L97"/>
      <c r="M97"/>
    </row>
    <row r="98" spans="1:13" s="7" customFormat="1">
      <c r="A98" s="15" t="s">
        <v>270</v>
      </c>
      <c r="B98" s="25" t="s">
        <v>273</v>
      </c>
      <c r="C98" s="39">
        <v>62</v>
      </c>
      <c r="D98" s="9">
        <v>41451</v>
      </c>
      <c r="E98" s="12" t="s">
        <v>63</v>
      </c>
      <c r="F98" s="10">
        <v>3936.26</v>
      </c>
      <c r="G98" s="10">
        <v>1992.73</v>
      </c>
      <c r="H98" s="10">
        <v>246016</v>
      </c>
      <c r="I98" s="34">
        <v>0.5</v>
      </c>
      <c r="K98"/>
      <c r="L98"/>
      <c r="M98"/>
    </row>
    <row r="99" spans="1:13" s="7" customFormat="1">
      <c r="A99" s="15" t="s">
        <v>270</v>
      </c>
      <c r="B99" s="25" t="s">
        <v>273</v>
      </c>
      <c r="C99" s="39">
        <v>82</v>
      </c>
      <c r="D99" s="9">
        <v>41451</v>
      </c>
      <c r="E99" s="12" t="s">
        <v>63</v>
      </c>
      <c r="F99" s="10">
        <v>5151.51</v>
      </c>
      <c r="G99" s="10">
        <v>0</v>
      </c>
      <c r="H99" s="10">
        <v>321969.43</v>
      </c>
      <c r="I99" s="34">
        <v>0.5</v>
      </c>
      <c r="K99"/>
      <c r="L99"/>
      <c r="M99"/>
    </row>
    <row r="100" spans="1:13" s="7" customFormat="1" ht="14.25" customHeight="1">
      <c r="A100" s="15" t="s">
        <v>270</v>
      </c>
      <c r="B100" s="25" t="s">
        <v>273</v>
      </c>
      <c r="C100" s="39">
        <v>51</v>
      </c>
      <c r="D100" s="9">
        <v>41455</v>
      </c>
      <c r="E100" s="12" t="s">
        <v>275</v>
      </c>
      <c r="F100" s="10">
        <v>6144.24</v>
      </c>
      <c r="G100" s="10">
        <v>2119.7600000000002</v>
      </c>
      <c r="H100" s="10">
        <v>384015</v>
      </c>
      <c r="I100" s="62">
        <v>1</v>
      </c>
      <c r="K100"/>
      <c r="L100"/>
      <c r="M100"/>
    </row>
    <row r="101" spans="1:13" s="7" customFormat="1">
      <c r="A101" s="15" t="s">
        <v>146</v>
      </c>
      <c r="B101" s="25" t="s">
        <v>85</v>
      </c>
      <c r="C101" s="39">
        <v>1906</v>
      </c>
      <c r="D101" s="9">
        <v>41398</v>
      </c>
      <c r="E101" s="12" t="s">
        <v>101</v>
      </c>
      <c r="F101" s="10">
        <v>6428.62</v>
      </c>
      <c r="G101" s="10">
        <v>4459.8500000000004</v>
      </c>
      <c r="H101" s="10">
        <v>401788.53</v>
      </c>
      <c r="I101" s="62">
        <v>1</v>
      </c>
    </row>
    <row r="102" spans="1:13" s="7" customFormat="1">
      <c r="A102" s="15" t="s">
        <v>270</v>
      </c>
      <c r="B102" s="25" t="s">
        <v>271</v>
      </c>
      <c r="C102" s="39">
        <v>2</v>
      </c>
      <c r="D102" s="9">
        <v>41455</v>
      </c>
      <c r="E102" s="12" t="s">
        <v>101</v>
      </c>
      <c r="F102" s="10">
        <v>3894.8</v>
      </c>
      <c r="G102" s="10">
        <v>1971.74</v>
      </c>
      <c r="H102" s="10">
        <v>243425</v>
      </c>
      <c r="I102" s="34">
        <v>0.5</v>
      </c>
    </row>
    <row r="103" spans="1:13" s="7" customFormat="1">
      <c r="A103" s="15" t="s">
        <v>146</v>
      </c>
      <c r="B103" s="25" t="s">
        <v>85</v>
      </c>
      <c r="C103" s="42">
        <v>2003</v>
      </c>
      <c r="D103" s="9">
        <v>41431</v>
      </c>
      <c r="E103" s="12" t="s">
        <v>140</v>
      </c>
      <c r="F103" s="10">
        <v>4978.18</v>
      </c>
      <c r="G103" s="10">
        <v>0</v>
      </c>
      <c r="H103" s="10">
        <v>311136</v>
      </c>
      <c r="I103" s="62">
        <v>1</v>
      </c>
    </row>
    <row r="104" spans="1:13" s="7" customFormat="1">
      <c r="A104" s="15" t="s">
        <v>270</v>
      </c>
      <c r="B104" s="25" t="s">
        <v>273</v>
      </c>
      <c r="C104" s="42">
        <v>31</v>
      </c>
      <c r="D104" s="9">
        <v>41455</v>
      </c>
      <c r="E104" s="12" t="s">
        <v>198</v>
      </c>
      <c r="F104" s="10">
        <v>6180.17</v>
      </c>
      <c r="G104" s="10">
        <v>1969.93</v>
      </c>
      <c r="H104" s="10">
        <v>386260.76</v>
      </c>
      <c r="I104" s="62">
        <v>1</v>
      </c>
    </row>
    <row r="105" spans="1:13">
      <c r="A105" s="15" t="s">
        <v>270</v>
      </c>
      <c r="B105" s="25" t="s">
        <v>273</v>
      </c>
      <c r="C105" s="42">
        <v>68</v>
      </c>
      <c r="D105" s="9">
        <v>41452</v>
      </c>
      <c r="E105" s="12" t="s">
        <v>198</v>
      </c>
      <c r="F105" s="10">
        <v>5881.51</v>
      </c>
      <c r="G105" s="10">
        <v>2977.51</v>
      </c>
      <c r="H105" s="10">
        <v>367594.19</v>
      </c>
      <c r="I105" s="62">
        <v>1</v>
      </c>
      <c r="K105" s="7"/>
      <c r="L105" s="7"/>
      <c r="M105" s="7"/>
    </row>
    <row r="106" spans="1:13">
      <c r="A106" s="15" t="s">
        <v>270</v>
      </c>
      <c r="B106" s="25" t="s">
        <v>271</v>
      </c>
      <c r="C106" s="39">
        <v>31</v>
      </c>
      <c r="D106" s="12">
        <v>41451</v>
      </c>
      <c r="E106" s="12" t="s">
        <v>290</v>
      </c>
      <c r="F106" s="10">
        <v>6150.34</v>
      </c>
      <c r="G106" s="10">
        <v>3113.61</v>
      </c>
      <c r="H106" s="10">
        <v>384395.95</v>
      </c>
      <c r="I106" s="34">
        <v>1</v>
      </c>
      <c r="K106" s="7"/>
      <c r="L106" s="7"/>
      <c r="M106" s="7"/>
    </row>
    <row r="107" spans="1:13" s="7" customFormat="1">
      <c r="A107" s="15" t="s">
        <v>270</v>
      </c>
      <c r="B107" s="25" t="s">
        <v>271</v>
      </c>
      <c r="C107" s="39">
        <v>38</v>
      </c>
      <c r="D107" s="12">
        <v>41451</v>
      </c>
      <c r="E107" s="12" t="s">
        <v>290</v>
      </c>
      <c r="F107" s="10">
        <v>6150.34</v>
      </c>
      <c r="G107" s="10">
        <v>3113.61</v>
      </c>
      <c r="H107" s="10">
        <v>384395.95</v>
      </c>
      <c r="I107" s="34">
        <v>1</v>
      </c>
    </row>
    <row r="108" spans="1:13">
      <c r="A108" s="15" t="s">
        <v>270</v>
      </c>
      <c r="B108" s="25" t="s">
        <v>278</v>
      </c>
      <c r="C108" s="39">
        <v>41</v>
      </c>
      <c r="D108" s="12">
        <v>41451</v>
      </c>
      <c r="E108" s="12" t="s">
        <v>290</v>
      </c>
      <c r="F108" s="10">
        <v>10143.290000000001</v>
      </c>
      <c r="G108" s="10">
        <v>5020.93</v>
      </c>
      <c r="H108" s="10">
        <v>633955.6</v>
      </c>
      <c r="I108" s="34">
        <v>1</v>
      </c>
      <c r="K108" s="7"/>
      <c r="L108" s="7"/>
      <c r="M108" s="7"/>
    </row>
    <row r="109" spans="1:13">
      <c r="A109" s="15" t="s">
        <v>270</v>
      </c>
      <c r="B109" s="25" t="s">
        <v>271</v>
      </c>
      <c r="C109" s="39">
        <v>87</v>
      </c>
      <c r="D109" s="12">
        <v>41451</v>
      </c>
      <c r="E109" s="12" t="s">
        <v>290</v>
      </c>
      <c r="F109" s="10">
        <v>4193.8500000000004</v>
      </c>
      <c r="G109" s="10">
        <v>1592.35</v>
      </c>
      <c r="H109" s="10">
        <v>262115.65</v>
      </c>
      <c r="I109" s="34">
        <v>0.5</v>
      </c>
      <c r="K109" s="7"/>
      <c r="L109" s="7"/>
      <c r="M109" s="7"/>
    </row>
    <row r="110" spans="1:13">
      <c r="A110" s="15" t="s">
        <v>270</v>
      </c>
      <c r="B110" s="25" t="s">
        <v>271</v>
      </c>
      <c r="C110" s="42">
        <v>72</v>
      </c>
      <c r="D110" s="9">
        <v>41451</v>
      </c>
      <c r="E110" s="12" t="s">
        <v>284</v>
      </c>
      <c r="F110" s="10">
        <v>8197.26</v>
      </c>
      <c r="G110" s="10">
        <v>2612.88</v>
      </c>
      <c r="H110" s="10">
        <v>512328.88</v>
      </c>
      <c r="I110" s="62">
        <v>1</v>
      </c>
      <c r="K110" s="7"/>
      <c r="L110" s="7"/>
      <c r="M110" s="7"/>
    </row>
    <row r="111" spans="1:13">
      <c r="A111" s="15" t="s">
        <v>145</v>
      </c>
      <c r="B111" s="25" t="s">
        <v>82</v>
      </c>
      <c r="C111" s="39">
        <v>1604</v>
      </c>
      <c r="D111" s="9">
        <v>41446</v>
      </c>
      <c r="E111" s="12" t="s">
        <v>158</v>
      </c>
      <c r="F111" s="10">
        <v>8183.37</v>
      </c>
      <c r="G111" s="10">
        <v>5677.22</v>
      </c>
      <c r="H111" s="10">
        <v>511460.85</v>
      </c>
      <c r="I111" s="62">
        <v>1</v>
      </c>
      <c r="K111" s="7"/>
      <c r="L111" s="7"/>
      <c r="M111" s="7"/>
    </row>
    <row r="112" spans="1:13">
      <c r="A112" s="15" t="s">
        <v>270</v>
      </c>
      <c r="B112" s="25" t="s">
        <v>273</v>
      </c>
      <c r="C112" s="42">
        <v>26</v>
      </c>
      <c r="D112" s="9">
        <v>41451</v>
      </c>
      <c r="E112" s="12" t="s">
        <v>286</v>
      </c>
      <c r="F112" s="10">
        <v>3605</v>
      </c>
      <c r="G112" s="10">
        <v>1825.03</v>
      </c>
      <c r="H112" s="10">
        <v>225312.27</v>
      </c>
      <c r="I112" s="62">
        <v>0.5</v>
      </c>
      <c r="K112" s="7"/>
      <c r="L112" s="7"/>
      <c r="M112" s="7"/>
    </row>
    <row r="113" spans="1:13">
      <c r="A113" s="15" t="s">
        <v>270</v>
      </c>
      <c r="B113" s="25" t="s">
        <v>271</v>
      </c>
      <c r="C113" s="42">
        <v>25</v>
      </c>
      <c r="D113" s="9">
        <v>41455</v>
      </c>
      <c r="E113" s="42" t="s">
        <v>95</v>
      </c>
      <c r="F113" s="10">
        <v>5995.2</v>
      </c>
      <c r="G113" s="10">
        <v>3035.07</v>
      </c>
      <c r="H113" s="10">
        <v>374700</v>
      </c>
      <c r="I113" s="62">
        <v>1</v>
      </c>
      <c r="K113" s="7"/>
      <c r="L113" s="7"/>
      <c r="M113" s="7"/>
    </row>
    <row r="114" spans="1:13">
      <c r="A114" s="15" t="s">
        <v>208</v>
      </c>
      <c r="B114" s="25" t="s">
        <v>226</v>
      </c>
      <c r="C114" s="39">
        <v>163</v>
      </c>
      <c r="D114" s="9">
        <v>41448</v>
      </c>
      <c r="E114" s="12" t="s">
        <v>262</v>
      </c>
      <c r="F114" s="10">
        <v>4836.8</v>
      </c>
      <c r="G114" s="10">
        <v>0</v>
      </c>
      <c r="H114" s="10">
        <v>241840</v>
      </c>
      <c r="I114" s="62">
        <v>1</v>
      </c>
      <c r="K114" s="7"/>
      <c r="L114" s="7"/>
      <c r="M114" s="7"/>
    </row>
    <row r="115" spans="1:13">
      <c r="A115" s="15" t="s">
        <v>191</v>
      </c>
      <c r="B115" s="25" t="s">
        <v>117</v>
      </c>
      <c r="C115" s="39">
        <v>131</v>
      </c>
      <c r="D115" s="9">
        <v>41444</v>
      </c>
      <c r="E115" s="12" t="s">
        <v>34</v>
      </c>
      <c r="F115" s="10">
        <v>4560</v>
      </c>
      <c r="G115" s="10">
        <v>0</v>
      </c>
      <c r="H115" s="10">
        <v>228000</v>
      </c>
      <c r="I115" s="62">
        <v>1</v>
      </c>
      <c r="K115" s="7"/>
      <c r="L115" s="7"/>
      <c r="M115" s="7"/>
    </row>
    <row r="116" spans="1:13">
      <c r="A116" s="15" t="s">
        <v>269</v>
      </c>
      <c r="B116" s="25" t="s">
        <v>85</v>
      </c>
      <c r="C116" s="39">
        <v>131</v>
      </c>
      <c r="D116" s="12">
        <v>41452</v>
      </c>
      <c r="E116" s="12" t="s">
        <v>52</v>
      </c>
      <c r="F116" s="10">
        <f>H116*2%</f>
        <v>46000</v>
      </c>
      <c r="G116" s="10">
        <f>71530-F116</f>
        <v>25530</v>
      </c>
      <c r="H116" s="10">
        <v>2300000</v>
      </c>
      <c r="I116" s="34">
        <v>1</v>
      </c>
      <c r="K116" s="7"/>
      <c r="L116" s="7"/>
      <c r="M116" s="7"/>
    </row>
    <row r="117" spans="1:13">
      <c r="A117" s="15" t="s">
        <v>270</v>
      </c>
      <c r="B117" s="25" t="s">
        <v>273</v>
      </c>
      <c r="C117" s="42">
        <v>13</v>
      </c>
      <c r="D117" s="9">
        <v>41452</v>
      </c>
      <c r="E117" s="12" t="s">
        <v>298</v>
      </c>
      <c r="F117" s="10">
        <v>3566.63</v>
      </c>
      <c r="G117" s="10">
        <v>1354.21</v>
      </c>
      <c r="H117" s="10">
        <v>222914.63</v>
      </c>
      <c r="I117" s="62">
        <v>0.5</v>
      </c>
      <c r="K117" s="7"/>
      <c r="L117" s="7"/>
      <c r="M117" s="7"/>
    </row>
    <row r="118" spans="1:13">
      <c r="A118" s="15" t="s">
        <v>270</v>
      </c>
      <c r="B118" s="25" t="s">
        <v>271</v>
      </c>
      <c r="C118" s="39">
        <v>85</v>
      </c>
      <c r="D118" s="9">
        <v>41451</v>
      </c>
      <c r="E118" s="12" t="s">
        <v>84</v>
      </c>
      <c r="F118" s="10">
        <v>6382.71</v>
      </c>
      <c r="G118" s="10">
        <v>3231.25</v>
      </c>
      <c r="H118" s="10">
        <v>398919.4</v>
      </c>
      <c r="I118" s="62">
        <v>1</v>
      </c>
      <c r="K118" s="7"/>
      <c r="L118" s="7"/>
      <c r="M118" s="7"/>
    </row>
    <row r="119" spans="1:13">
      <c r="A119" s="15"/>
      <c r="B119" s="25"/>
      <c r="C119" s="42"/>
      <c r="D119" s="9"/>
      <c r="E119" s="12"/>
      <c r="F119" s="10"/>
      <c r="G119" s="10"/>
      <c r="H119" s="10"/>
      <c r="I119" s="62"/>
      <c r="K119" s="7"/>
      <c r="L119" s="7"/>
      <c r="M119" s="7"/>
    </row>
    <row r="120" spans="1:13">
      <c r="A120" s="86"/>
      <c r="B120" s="25"/>
      <c r="C120" s="39"/>
      <c r="D120" s="9"/>
      <c r="E120" s="12"/>
      <c r="F120" s="10"/>
      <c r="G120" s="10"/>
      <c r="H120" s="10"/>
      <c r="I120" s="62"/>
      <c r="K120" s="7"/>
      <c r="L120" s="7"/>
      <c r="M120" s="7"/>
    </row>
    <row r="121" spans="1:13">
      <c r="K121" s="7"/>
      <c r="L121" s="7"/>
      <c r="M121" s="7"/>
    </row>
    <row r="122" spans="1:13">
      <c r="K122" s="7"/>
      <c r="L122" s="7"/>
      <c r="M122" s="7"/>
    </row>
    <row r="123" spans="1:13">
      <c r="K123" s="7"/>
      <c r="L123" s="7"/>
      <c r="M123" s="7"/>
    </row>
    <row r="124" spans="1:13">
      <c r="K124" s="7"/>
      <c r="L124" s="7"/>
      <c r="M124" s="7"/>
    </row>
    <row r="125" spans="1:13">
      <c r="K125" s="7"/>
      <c r="L125" s="7"/>
      <c r="M125" s="7"/>
    </row>
    <row r="126" spans="1:13">
      <c r="K126" s="7"/>
      <c r="L126" s="7"/>
      <c r="M126" s="7"/>
    </row>
    <row r="127" spans="1:13">
      <c r="K127" s="7"/>
      <c r="L127" s="7"/>
      <c r="M127" s="7"/>
    </row>
    <row r="128" spans="1:13">
      <c r="K128" s="7"/>
      <c r="L128" s="7"/>
      <c r="M128" s="7"/>
    </row>
    <row r="129" spans="11:13">
      <c r="K129" s="7"/>
      <c r="L129" s="7"/>
      <c r="M129" s="7"/>
    </row>
    <row r="130" spans="11:13">
      <c r="K130" s="7"/>
      <c r="L130" s="7"/>
      <c r="M130" s="7"/>
    </row>
    <row r="151" spans="2:13" s="7" customFormat="1">
      <c r="B151"/>
      <c r="C151"/>
      <c r="D151"/>
      <c r="F151"/>
      <c r="H151"/>
      <c r="K151"/>
      <c r="L151"/>
      <c r="M151"/>
    </row>
    <row r="152" spans="2:13" s="7" customFormat="1">
      <c r="B152"/>
      <c r="C152"/>
      <c r="D152"/>
      <c r="F152"/>
      <c r="H152"/>
      <c r="K152"/>
      <c r="L152"/>
      <c r="M152"/>
    </row>
    <row r="153" spans="2:13" s="7" customFormat="1">
      <c r="B153"/>
      <c r="C153"/>
      <c r="D153"/>
      <c r="F153"/>
      <c r="H153"/>
      <c r="K153"/>
      <c r="L153"/>
      <c r="M153"/>
    </row>
    <row r="154" spans="2:13" s="7" customFormat="1">
      <c r="B154"/>
      <c r="C154"/>
      <c r="D154"/>
      <c r="F154"/>
      <c r="H154"/>
      <c r="K154"/>
      <c r="L154"/>
      <c r="M154"/>
    </row>
    <row r="155" spans="2:13" s="7" customFormat="1">
      <c r="B155"/>
      <c r="C155"/>
      <c r="D155"/>
      <c r="F155"/>
      <c r="H155"/>
      <c r="K155"/>
      <c r="L155"/>
      <c r="M155"/>
    </row>
    <row r="157" spans="2:13" s="7" customFormat="1">
      <c r="B157"/>
      <c r="C157"/>
      <c r="D157"/>
      <c r="F157"/>
      <c r="H157"/>
      <c r="K157"/>
      <c r="L157"/>
      <c r="M157"/>
    </row>
    <row r="158" spans="2:13" s="7" customFormat="1">
      <c r="B158"/>
      <c r="C158"/>
      <c r="D158"/>
      <c r="F158"/>
      <c r="H158"/>
      <c r="K158"/>
      <c r="L158"/>
      <c r="M158"/>
    </row>
    <row r="159" spans="2:13" s="7" customFormat="1">
      <c r="B159"/>
      <c r="C159"/>
      <c r="D159"/>
      <c r="F159"/>
      <c r="H159"/>
      <c r="K159"/>
      <c r="L159"/>
      <c r="M159"/>
    </row>
    <row r="160" spans="2:13" s="7" customFormat="1">
      <c r="B160"/>
      <c r="C160"/>
      <c r="D160"/>
      <c r="F160"/>
      <c r="H160"/>
      <c r="K160"/>
      <c r="L160"/>
      <c r="M160"/>
    </row>
    <row r="161" spans="2:13" s="7" customFormat="1">
      <c r="B161"/>
      <c r="C161"/>
      <c r="D161"/>
      <c r="F161"/>
      <c r="H161"/>
    </row>
    <row r="162" spans="2:13" s="7" customFormat="1">
      <c r="B162"/>
      <c r="C162"/>
      <c r="D162"/>
      <c r="F162"/>
      <c r="H162"/>
    </row>
    <row r="163" spans="2:13" s="7" customFormat="1">
      <c r="B163"/>
      <c r="C163"/>
      <c r="D163"/>
      <c r="F163"/>
      <c r="H163"/>
    </row>
    <row r="164" spans="2:13" s="7" customFormat="1">
      <c r="B164"/>
      <c r="C164"/>
      <c r="D164"/>
      <c r="F164"/>
      <c r="H164"/>
    </row>
    <row r="165" spans="2:13" s="7" customFormat="1">
      <c r="B165"/>
      <c r="C165"/>
      <c r="D165"/>
      <c r="F165"/>
      <c r="H165"/>
    </row>
    <row r="166" spans="2:13" s="7" customFormat="1">
      <c r="B166"/>
      <c r="C166"/>
      <c r="D166"/>
      <c r="F166"/>
      <c r="H166"/>
      <c r="K166"/>
      <c r="L166"/>
      <c r="M166"/>
    </row>
    <row r="168" spans="2:13">
      <c r="K168" s="7"/>
      <c r="L168" s="7"/>
      <c r="M168" s="7"/>
    </row>
    <row r="169" spans="2:13">
      <c r="K169" s="7"/>
      <c r="L169" s="7"/>
      <c r="M169" s="7"/>
    </row>
    <row r="170" spans="2:13" s="7" customFormat="1">
      <c r="B170"/>
      <c r="C170"/>
      <c r="D170"/>
      <c r="F170"/>
      <c r="H170"/>
    </row>
    <row r="171" spans="2:13">
      <c r="K171" s="7"/>
      <c r="L171" s="7"/>
      <c r="M171" s="7"/>
    </row>
    <row r="172" spans="2:13">
      <c r="K172" s="7"/>
      <c r="L172" s="7"/>
      <c r="M172" s="7"/>
    </row>
    <row r="173" spans="2:13">
      <c r="K173" s="7"/>
      <c r="L173" s="7"/>
      <c r="M173" s="7"/>
    </row>
    <row r="174" spans="2:13">
      <c r="K174" s="7"/>
      <c r="L174" s="7"/>
      <c r="M174" s="7"/>
    </row>
    <row r="175" spans="2:13">
      <c r="K175" s="7"/>
      <c r="L175" s="7"/>
      <c r="M175" s="7"/>
    </row>
    <row r="176" spans="2:13" s="7" customFormat="1">
      <c r="B176"/>
      <c r="C176"/>
      <c r="D176"/>
      <c r="F176"/>
      <c r="H176"/>
    </row>
    <row r="177" spans="2:13" s="7" customFormat="1">
      <c r="B177"/>
      <c r="C177"/>
      <c r="D177"/>
      <c r="F177"/>
      <c r="H177"/>
    </row>
    <row r="178" spans="2:13" s="7" customFormat="1">
      <c r="B178"/>
      <c r="C178"/>
      <c r="D178"/>
      <c r="F178"/>
      <c r="H178"/>
      <c r="K178"/>
      <c r="L178"/>
      <c r="M178"/>
    </row>
    <row r="179" spans="2:13" s="7" customFormat="1">
      <c r="B179"/>
      <c r="C179"/>
      <c r="D179"/>
      <c r="F179"/>
      <c r="H179"/>
    </row>
    <row r="180" spans="2:13" s="7" customFormat="1">
      <c r="B180"/>
      <c r="C180"/>
      <c r="D180"/>
      <c r="F180"/>
      <c r="H180"/>
    </row>
    <row r="181" spans="2:13" s="7" customFormat="1">
      <c r="B181"/>
      <c r="C181"/>
      <c r="D181"/>
      <c r="F181"/>
      <c r="H181"/>
    </row>
    <row r="182" spans="2:13" s="7" customFormat="1">
      <c r="B182"/>
      <c r="C182"/>
      <c r="D182"/>
      <c r="F182"/>
      <c r="H182"/>
    </row>
    <row r="183" spans="2:13" s="7" customFormat="1">
      <c r="B183"/>
      <c r="C183"/>
      <c r="D183"/>
      <c r="F183"/>
      <c r="H183"/>
    </row>
    <row r="184" spans="2:13" s="7" customFormat="1">
      <c r="B184"/>
      <c r="C184"/>
      <c r="D184"/>
      <c r="F184"/>
      <c r="H184"/>
    </row>
    <row r="185" spans="2:13" s="7" customFormat="1">
      <c r="B185"/>
      <c r="C185"/>
      <c r="D185"/>
      <c r="F185"/>
      <c r="H185"/>
    </row>
    <row r="186" spans="2:13" s="7" customFormat="1">
      <c r="B186"/>
      <c r="C186"/>
      <c r="D186"/>
      <c r="F186"/>
      <c r="H186"/>
    </row>
    <row r="187" spans="2:13" s="7" customFormat="1">
      <c r="B187"/>
      <c r="C187"/>
      <c r="D187"/>
      <c r="F187"/>
      <c r="H187"/>
    </row>
    <row r="194" spans="11:13">
      <c r="K194" s="7"/>
      <c r="L194" s="7"/>
      <c r="M194" s="7"/>
    </row>
  </sheetData>
  <autoFilter ref="K3:M3">
    <sortState ref="K4:M63">
      <sortCondition ref="K3"/>
    </sortState>
  </autoFilter>
  <sortState ref="K4:M58">
    <sortCondition ref="K3"/>
  </sortState>
  <mergeCells count="3">
    <mergeCell ref="K2:M2"/>
    <mergeCell ref="K86:M86"/>
    <mergeCell ref="K78:M78"/>
  </mergeCells>
  <pageMargins left="0.51181102362204722" right="0.51181102362204722" top="0.78740157480314965" bottom="0.78740157480314965" header="0.31496062992125984" footer="0.31496062992125984"/>
  <pageSetup paperSize="9" scale="7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topLeftCell="A43" workbookViewId="0">
      <selection activeCell="E2" sqref="E2:E75"/>
    </sheetView>
  </sheetViews>
  <sheetFormatPr defaultRowHeight="14.4"/>
  <cols>
    <col min="1" max="1" width="25.33203125" bestFit="1" customWidth="1"/>
    <col min="2" max="2" width="11.33203125" bestFit="1" customWidth="1"/>
    <col min="4" max="4" width="9.6640625" bestFit="1" customWidth="1"/>
    <col min="5" max="5" width="33.88671875" bestFit="1" customWidth="1"/>
    <col min="6" max="6" width="10.5546875" bestFit="1" customWidth="1"/>
    <col min="7" max="7" width="13.33203125" bestFit="1" customWidth="1"/>
    <col min="8" max="8" width="14.33203125" bestFit="1" customWidth="1"/>
    <col min="11" max="11" width="11" bestFit="1" customWidth="1"/>
    <col min="13" max="13" width="14.33203125" bestFit="1" customWidth="1"/>
  </cols>
  <sheetData>
    <row r="1" spans="1:15" s="7" customFormat="1"/>
    <row r="2" spans="1:15">
      <c r="A2" s="15" t="s">
        <v>81</v>
      </c>
      <c r="B2" s="25" t="s">
        <v>82</v>
      </c>
      <c r="C2" s="39">
        <v>118</v>
      </c>
      <c r="D2" s="12">
        <v>41369</v>
      </c>
      <c r="E2" s="12" t="s">
        <v>123</v>
      </c>
      <c r="F2" s="10">
        <f>H2*2%</f>
        <v>8690</v>
      </c>
      <c r="G2" s="10"/>
      <c r="H2" s="10">
        <v>434500</v>
      </c>
      <c r="I2" s="34">
        <v>1</v>
      </c>
      <c r="K2" s="7"/>
    </row>
    <row r="3" spans="1:15">
      <c r="A3" s="15" t="s">
        <v>111</v>
      </c>
      <c r="B3" s="25" t="s">
        <v>119</v>
      </c>
      <c r="C3" s="39">
        <v>134</v>
      </c>
      <c r="D3" s="12">
        <v>41298</v>
      </c>
      <c r="E3" s="12" t="s">
        <v>123</v>
      </c>
      <c r="F3" s="10">
        <v>25880</v>
      </c>
      <c r="G3" s="10"/>
      <c r="H3" s="10">
        <v>870430.13</v>
      </c>
      <c r="I3" s="34">
        <v>1</v>
      </c>
      <c r="K3" s="11" t="s">
        <v>74</v>
      </c>
      <c r="L3" s="81">
        <f>SUM(I2:I28)</f>
        <v>24</v>
      </c>
      <c r="M3" s="82">
        <f>SUM(H2:H28)</f>
        <v>11033910.34</v>
      </c>
    </row>
    <row r="4" spans="1:15">
      <c r="A4" s="15" t="s">
        <v>54</v>
      </c>
      <c r="B4" s="25" t="s">
        <v>58</v>
      </c>
      <c r="C4" s="39">
        <v>202</v>
      </c>
      <c r="D4" s="12">
        <v>41373</v>
      </c>
      <c r="E4" s="12" t="s">
        <v>123</v>
      </c>
      <c r="F4" s="10">
        <f>H4*4%</f>
        <v>34800</v>
      </c>
      <c r="G4" s="10"/>
      <c r="H4" s="10">
        <v>870000</v>
      </c>
      <c r="I4" s="34">
        <v>1</v>
      </c>
      <c r="K4" s="11" t="s">
        <v>102</v>
      </c>
      <c r="L4" s="81">
        <f>SUM(I29:I39)</f>
        <v>11</v>
      </c>
      <c r="M4" s="82">
        <f>SUM(H29:H39)</f>
        <v>3642814.6700000004</v>
      </c>
    </row>
    <row r="5" spans="1:15">
      <c r="A5" s="79" t="s">
        <v>139</v>
      </c>
      <c r="B5" s="25" t="s">
        <v>165</v>
      </c>
      <c r="C5" s="39">
        <v>41</v>
      </c>
      <c r="D5" s="9">
        <v>41414</v>
      </c>
      <c r="E5" s="12" t="s">
        <v>123</v>
      </c>
      <c r="F5" s="10">
        <v>1260</v>
      </c>
      <c r="G5" s="10">
        <v>0</v>
      </c>
      <c r="H5" s="10">
        <v>210000</v>
      </c>
      <c r="I5" s="34">
        <v>1</v>
      </c>
      <c r="K5" s="11" t="s">
        <v>91</v>
      </c>
      <c r="L5" s="81">
        <f>SUM(I40:I88)</f>
        <v>34.5</v>
      </c>
      <c r="M5" s="82">
        <f>SUM(H40:H88)</f>
        <v>19432872.819999997</v>
      </c>
    </row>
    <row r="6" spans="1:15">
      <c r="A6" s="79" t="s">
        <v>124</v>
      </c>
      <c r="B6" s="25" t="s">
        <v>85</v>
      </c>
      <c r="C6" s="39">
        <v>106</v>
      </c>
      <c r="D6" s="9">
        <v>41343</v>
      </c>
      <c r="E6" s="12" t="s">
        <v>123</v>
      </c>
      <c r="F6" s="10">
        <v>9847.5</v>
      </c>
      <c r="G6" s="10"/>
      <c r="H6" s="10">
        <v>390000</v>
      </c>
      <c r="I6" s="34">
        <v>1</v>
      </c>
      <c r="K6" s="11"/>
      <c r="L6" s="81">
        <f>SUM(L3:L5)</f>
        <v>69.5</v>
      </c>
      <c r="M6" s="82">
        <f>SUM(M3:M5)</f>
        <v>34109597.829999998</v>
      </c>
    </row>
    <row r="7" spans="1:15">
      <c r="A7" s="15" t="s">
        <v>111</v>
      </c>
      <c r="B7" s="25" t="s">
        <v>112</v>
      </c>
      <c r="C7" s="39">
        <v>111</v>
      </c>
      <c r="D7" s="9">
        <v>41298</v>
      </c>
      <c r="E7" s="12" t="s">
        <v>123</v>
      </c>
      <c r="F7" s="10">
        <v>31600</v>
      </c>
      <c r="G7" s="10"/>
      <c r="H7" s="10">
        <v>790000</v>
      </c>
      <c r="I7" s="34">
        <v>1</v>
      </c>
    </row>
    <row r="8" spans="1:15">
      <c r="A8" s="15" t="s">
        <v>116</v>
      </c>
      <c r="B8" s="25" t="s">
        <v>117</v>
      </c>
      <c r="C8" s="39">
        <v>143</v>
      </c>
      <c r="D8" s="9">
        <v>41296</v>
      </c>
      <c r="E8" s="12" t="s">
        <v>123</v>
      </c>
      <c r="F8" s="10">
        <v>8429.44</v>
      </c>
      <c r="G8" s="10"/>
      <c r="H8" s="10">
        <v>210888.7</v>
      </c>
      <c r="I8" s="34">
        <v>1</v>
      </c>
      <c r="K8" s="103" t="s">
        <v>250</v>
      </c>
      <c r="L8" s="104"/>
      <c r="M8" s="104"/>
      <c r="N8" s="104"/>
      <c r="O8" s="104"/>
    </row>
    <row r="9" spans="1:15">
      <c r="A9" s="15" t="s">
        <v>124</v>
      </c>
      <c r="B9" s="25" t="s">
        <v>85</v>
      </c>
      <c r="C9" s="42">
        <v>312</v>
      </c>
      <c r="D9" s="9">
        <v>41343</v>
      </c>
      <c r="E9" s="12" t="s">
        <v>123</v>
      </c>
      <c r="F9" s="10">
        <v>5248.73</v>
      </c>
      <c r="G9" s="10"/>
      <c r="H9" s="10">
        <v>193680</v>
      </c>
      <c r="I9" s="62">
        <v>0.5</v>
      </c>
    </row>
    <row r="10" spans="1:15">
      <c r="A10" s="79" t="s">
        <v>124</v>
      </c>
      <c r="B10" s="25" t="s">
        <v>85</v>
      </c>
      <c r="C10" s="39">
        <v>510</v>
      </c>
      <c r="D10" s="9">
        <v>41343</v>
      </c>
      <c r="E10" s="12" t="s">
        <v>123</v>
      </c>
      <c r="F10" s="10">
        <f>H10*1.225%</f>
        <v>2653.6448575000004</v>
      </c>
      <c r="G10" s="10"/>
      <c r="H10" s="10">
        <v>216624.07</v>
      </c>
      <c r="I10" s="34">
        <v>0.5</v>
      </c>
    </row>
    <row r="11" spans="1:15">
      <c r="A11" s="79" t="s">
        <v>124</v>
      </c>
      <c r="B11" s="25" t="s">
        <v>85</v>
      </c>
      <c r="C11" s="39">
        <v>511</v>
      </c>
      <c r="D11" s="9">
        <v>41343</v>
      </c>
      <c r="E11" s="12" t="s">
        <v>123</v>
      </c>
      <c r="F11" s="10">
        <f>H11*1.225%</f>
        <v>2747.8637725000003</v>
      </c>
      <c r="G11" s="10"/>
      <c r="H11" s="10">
        <v>224315.41</v>
      </c>
      <c r="I11" s="34">
        <v>0.5</v>
      </c>
    </row>
    <row r="12" spans="1:15">
      <c r="A12" s="79" t="s">
        <v>124</v>
      </c>
      <c r="B12" s="25" t="s">
        <v>85</v>
      </c>
      <c r="C12" s="39">
        <v>512</v>
      </c>
      <c r="D12" s="9">
        <v>41343</v>
      </c>
      <c r="E12" s="12" t="s">
        <v>123</v>
      </c>
      <c r="F12" s="10">
        <f>H12*1.225%</f>
        <v>2693.6928025000002</v>
      </c>
      <c r="G12" s="10"/>
      <c r="H12" s="10">
        <v>219893.29</v>
      </c>
      <c r="I12" s="34">
        <v>0.5</v>
      </c>
    </row>
    <row r="13" spans="1:15">
      <c r="A13" s="79" t="s">
        <v>124</v>
      </c>
      <c r="B13" s="25" t="s">
        <v>85</v>
      </c>
      <c r="C13" s="39">
        <v>603</v>
      </c>
      <c r="D13" s="9">
        <v>41343</v>
      </c>
      <c r="E13" s="12" t="s">
        <v>123</v>
      </c>
      <c r="F13" s="10">
        <v>10924.07</v>
      </c>
      <c r="G13" s="10"/>
      <c r="H13" s="10">
        <v>403102.03</v>
      </c>
      <c r="I13" s="34">
        <v>1</v>
      </c>
    </row>
    <row r="14" spans="1:15" s="7" customFormat="1">
      <c r="A14" s="79" t="s">
        <v>122</v>
      </c>
      <c r="B14" s="25" t="s">
        <v>85</v>
      </c>
      <c r="C14" s="39">
        <v>808</v>
      </c>
      <c r="D14" s="9">
        <v>41361</v>
      </c>
      <c r="E14" s="12" t="s">
        <v>123</v>
      </c>
      <c r="F14" s="10">
        <f>H14*4%</f>
        <v>30000</v>
      </c>
      <c r="G14" s="10"/>
      <c r="H14" s="10">
        <v>750000</v>
      </c>
      <c r="I14" s="34">
        <v>1</v>
      </c>
    </row>
    <row r="15" spans="1:15" s="7" customFormat="1">
      <c r="A15" s="79" t="s">
        <v>139</v>
      </c>
      <c r="B15" s="25" t="s">
        <v>175</v>
      </c>
      <c r="C15" s="39">
        <v>21</v>
      </c>
      <c r="D15" s="9">
        <v>41421</v>
      </c>
      <c r="E15" s="12" t="s">
        <v>123</v>
      </c>
      <c r="F15" s="10">
        <v>1050</v>
      </c>
      <c r="G15" s="10">
        <v>0</v>
      </c>
      <c r="H15" s="10">
        <v>175000</v>
      </c>
      <c r="I15" s="34">
        <v>1</v>
      </c>
    </row>
    <row r="16" spans="1:15" s="7" customFormat="1">
      <c r="A16" s="79" t="s">
        <v>146</v>
      </c>
      <c r="B16" s="25" t="s">
        <v>85</v>
      </c>
      <c r="C16" s="39">
        <v>901</v>
      </c>
      <c r="D16" s="9">
        <v>41422</v>
      </c>
      <c r="E16" s="12" t="s">
        <v>123</v>
      </c>
      <c r="F16" s="10">
        <v>1320</v>
      </c>
      <c r="G16" s="10">
        <v>0</v>
      </c>
      <c r="H16" s="10">
        <v>330000</v>
      </c>
      <c r="I16" s="34">
        <v>1</v>
      </c>
    </row>
    <row r="17" spans="1:9" s="7" customFormat="1">
      <c r="A17" s="15" t="s">
        <v>116</v>
      </c>
      <c r="B17" s="25" t="s">
        <v>136</v>
      </c>
      <c r="C17" s="39">
        <v>135</v>
      </c>
      <c r="D17" s="9">
        <v>41436</v>
      </c>
      <c r="E17" s="12" t="s">
        <v>123</v>
      </c>
      <c r="F17" s="10">
        <v>1989.26</v>
      </c>
      <c r="G17" s="10">
        <v>0</v>
      </c>
      <c r="H17" s="10">
        <v>248657.21</v>
      </c>
      <c r="I17" s="34">
        <v>1</v>
      </c>
    </row>
    <row r="18" spans="1:9">
      <c r="A18" s="79" t="s">
        <v>146</v>
      </c>
      <c r="B18" s="25" t="s">
        <v>85</v>
      </c>
      <c r="C18" s="39">
        <v>1915</v>
      </c>
      <c r="D18" s="9">
        <v>41411</v>
      </c>
      <c r="E18" s="12" t="s">
        <v>123</v>
      </c>
      <c r="F18" s="10">
        <v>1539.07</v>
      </c>
      <c r="G18" s="10">
        <v>1779.55</v>
      </c>
      <c r="H18" s="10">
        <v>384767.22</v>
      </c>
      <c r="I18" s="34">
        <v>1</v>
      </c>
    </row>
    <row r="19" spans="1:9">
      <c r="A19" s="79" t="s">
        <v>138</v>
      </c>
      <c r="B19" s="25" t="s">
        <v>249</v>
      </c>
      <c r="C19" s="39">
        <v>75</v>
      </c>
      <c r="D19" s="9">
        <v>41442</v>
      </c>
      <c r="E19" s="12" t="s">
        <v>123</v>
      </c>
      <c r="F19" s="10">
        <v>1111.6600000000001</v>
      </c>
      <c r="G19" s="10">
        <v>0</v>
      </c>
      <c r="H19" s="10">
        <v>185276</v>
      </c>
      <c r="I19" s="34">
        <v>1</v>
      </c>
    </row>
    <row r="20" spans="1:9">
      <c r="A20" s="15" t="s">
        <v>139</v>
      </c>
      <c r="B20" s="25" t="s">
        <v>165</v>
      </c>
      <c r="C20" s="39">
        <v>25</v>
      </c>
      <c r="D20" s="9">
        <v>41413</v>
      </c>
      <c r="E20" s="12" t="s">
        <v>123</v>
      </c>
      <c r="F20" s="10">
        <v>630</v>
      </c>
      <c r="G20" s="10">
        <v>0</v>
      </c>
      <c r="H20" s="10">
        <v>105000</v>
      </c>
      <c r="I20" s="62">
        <v>0.5</v>
      </c>
    </row>
    <row r="21" spans="1:9">
      <c r="A21" s="15" t="s">
        <v>270</v>
      </c>
      <c r="B21" s="25" t="s">
        <v>271</v>
      </c>
      <c r="C21" s="39">
        <v>87</v>
      </c>
      <c r="D21" s="12">
        <v>41451</v>
      </c>
      <c r="E21" s="12" t="s">
        <v>123</v>
      </c>
      <c r="F21" s="10">
        <v>1048.46</v>
      </c>
      <c r="G21" s="10">
        <v>1061.57</v>
      </c>
      <c r="H21" s="10">
        <v>262115.65</v>
      </c>
      <c r="I21" s="34">
        <v>0.5</v>
      </c>
    </row>
    <row r="22" spans="1:9" s="7" customFormat="1">
      <c r="A22" s="15" t="s">
        <v>270</v>
      </c>
      <c r="B22" s="25" t="s">
        <v>271</v>
      </c>
      <c r="C22" s="39">
        <v>84</v>
      </c>
      <c r="D22" s="9">
        <v>41455</v>
      </c>
      <c r="E22" s="12" t="s">
        <v>123</v>
      </c>
      <c r="F22" s="10">
        <v>1610</v>
      </c>
      <c r="G22" s="10">
        <v>1358.44</v>
      </c>
      <c r="H22" s="10">
        <v>402500</v>
      </c>
      <c r="I22" s="34">
        <v>1</v>
      </c>
    </row>
    <row r="23" spans="1:9" s="7" customFormat="1">
      <c r="A23" s="15" t="s">
        <v>270</v>
      </c>
      <c r="B23" s="25" t="s">
        <v>271</v>
      </c>
      <c r="C23" s="39">
        <v>65</v>
      </c>
      <c r="D23" s="9">
        <v>41451</v>
      </c>
      <c r="E23" s="12" t="s">
        <v>123</v>
      </c>
      <c r="F23" s="10">
        <v>1606.85</v>
      </c>
      <c r="G23" s="10">
        <v>1355.78</v>
      </c>
      <c r="H23" s="10">
        <v>401713.27</v>
      </c>
      <c r="I23" s="34">
        <v>1</v>
      </c>
    </row>
    <row r="24" spans="1:9">
      <c r="A24" s="15" t="s">
        <v>270</v>
      </c>
      <c r="B24" s="25" t="s">
        <v>273</v>
      </c>
      <c r="C24" s="39">
        <v>57</v>
      </c>
      <c r="D24" s="12">
        <v>41450</v>
      </c>
      <c r="E24" s="12" t="s">
        <v>123</v>
      </c>
      <c r="F24" s="10">
        <v>2002.11</v>
      </c>
      <c r="G24" s="10">
        <v>1689.28</v>
      </c>
      <c r="H24" s="10">
        <v>500528.43</v>
      </c>
      <c r="I24" s="34">
        <v>1</v>
      </c>
    </row>
    <row r="25" spans="1:9">
      <c r="A25" s="15" t="s">
        <v>270</v>
      </c>
      <c r="B25" s="25" t="s">
        <v>271</v>
      </c>
      <c r="C25" s="39">
        <v>54</v>
      </c>
      <c r="D25" s="9">
        <v>41452</v>
      </c>
      <c r="E25" s="12" t="s">
        <v>123</v>
      </c>
      <c r="F25" s="10">
        <v>1574.51</v>
      </c>
      <c r="G25" s="10">
        <v>1328.49</v>
      </c>
      <c r="H25" s="10">
        <v>393628.07</v>
      </c>
      <c r="I25" s="62">
        <v>1</v>
      </c>
    </row>
    <row r="26" spans="1:9" s="7" customFormat="1">
      <c r="A26" s="15" t="s">
        <v>270</v>
      </c>
      <c r="B26" s="25" t="s">
        <v>273</v>
      </c>
      <c r="C26" s="39">
        <v>46</v>
      </c>
      <c r="D26" s="9">
        <v>41450</v>
      </c>
      <c r="E26" s="12" t="s">
        <v>123</v>
      </c>
      <c r="F26" s="10">
        <v>1945.89</v>
      </c>
      <c r="G26" s="10">
        <v>1641.84</v>
      </c>
      <c r="H26" s="10">
        <v>486471.79</v>
      </c>
      <c r="I26" s="34">
        <v>1</v>
      </c>
    </row>
    <row r="27" spans="1:9">
      <c r="A27" s="79" t="s">
        <v>246</v>
      </c>
      <c r="B27" s="25"/>
      <c r="C27" s="39"/>
      <c r="D27" s="9"/>
      <c r="E27" s="12" t="s">
        <v>123</v>
      </c>
      <c r="F27" s="10">
        <f>H27*0.8%</f>
        <v>7360.0087199999998</v>
      </c>
      <c r="G27" s="10">
        <f>9660.01-F27</f>
        <v>2300.0012800000004</v>
      </c>
      <c r="H27" s="10">
        <v>920001.09</v>
      </c>
      <c r="I27" s="34">
        <v>1</v>
      </c>
    </row>
    <row r="28" spans="1:9">
      <c r="A28" s="79" t="s">
        <v>146</v>
      </c>
      <c r="B28" s="25" t="s">
        <v>85</v>
      </c>
      <c r="C28" s="39">
        <v>308</v>
      </c>
      <c r="D28" s="9">
        <v>41408</v>
      </c>
      <c r="E28" s="12" t="s">
        <v>123</v>
      </c>
      <c r="F28" s="10">
        <v>1819.27</v>
      </c>
      <c r="G28" s="10">
        <v>2103.5300000000002</v>
      </c>
      <c r="H28" s="10">
        <v>454817.98</v>
      </c>
      <c r="I28" s="34">
        <v>1</v>
      </c>
    </row>
    <row r="29" spans="1:9" s="7" customFormat="1">
      <c r="A29" s="15" t="s">
        <v>114</v>
      </c>
      <c r="B29" s="25" t="s">
        <v>118</v>
      </c>
      <c r="C29" s="39">
        <v>27</v>
      </c>
      <c r="D29" s="9">
        <v>41298</v>
      </c>
      <c r="E29" s="12" t="s">
        <v>125</v>
      </c>
      <c r="F29" s="10">
        <v>6188</v>
      </c>
      <c r="G29" s="10"/>
      <c r="H29" s="10">
        <v>182000</v>
      </c>
      <c r="I29" s="34">
        <v>1</v>
      </c>
    </row>
    <row r="30" spans="1:9" s="7" customFormat="1">
      <c r="A30" s="79" t="s">
        <v>138</v>
      </c>
      <c r="B30" s="25" t="s">
        <v>164</v>
      </c>
      <c r="C30" s="39">
        <v>36</v>
      </c>
      <c r="D30" s="9">
        <v>41418</v>
      </c>
      <c r="E30" s="12" t="s">
        <v>125</v>
      </c>
      <c r="F30" s="10">
        <v>1110</v>
      </c>
      <c r="G30" s="10">
        <v>0</v>
      </c>
      <c r="H30" s="10">
        <v>185000</v>
      </c>
      <c r="I30" s="34">
        <v>1</v>
      </c>
    </row>
    <row r="31" spans="1:9" s="7" customFormat="1">
      <c r="A31" s="15" t="s">
        <v>53</v>
      </c>
      <c r="B31" s="25" t="s">
        <v>113</v>
      </c>
      <c r="C31" s="39">
        <v>51</v>
      </c>
      <c r="D31" s="12">
        <v>41302</v>
      </c>
      <c r="E31" s="12" t="s">
        <v>125</v>
      </c>
      <c r="F31" s="10">
        <v>7642.4</v>
      </c>
      <c r="G31" s="10"/>
      <c r="H31" s="10">
        <v>477650.03</v>
      </c>
      <c r="I31" s="34">
        <v>1</v>
      </c>
    </row>
    <row r="32" spans="1:9" s="7" customFormat="1">
      <c r="A32" s="15" t="s">
        <v>115</v>
      </c>
      <c r="B32" s="25" t="s">
        <v>113</v>
      </c>
      <c r="C32" s="39">
        <v>176</v>
      </c>
      <c r="D32" s="9">
        <v>41304</v>
      </c>
      <c r="E32" s="12" t="s">
        <v>125</v>
      </c>
      <c r="F32" s="10">
        <v>14400</v>
      </c>
      <c r="G32" s="10"/>
      <c r="H32" s="10">
        <v>360000</v>
      </c>
      <c r="I32" s="34">
        <v>1</v>
      </c>
    </row>
    <row r="33" spans="1:9">
      <c r="A33" s="79" t="s">
        <v>146</v>
      </c>
      <c r="B33" s="25" t="s">
        <v>85</v>
      </c>
      <c r="C33" s="39">
        <v>307</v>
      </c>
      <c r="D33" s="9">
        <v>41418</v>
      </c>
      <c r="E33" s="12" t="s">
        <v>125</v>
      </c>
      <c r="F33" s="10">
        <v>0</v>
      </c>
      <c r="G33" s="10"/>
      <c r="H33" s="10">
        <v>331300</v>
      </c>
      <c r="I33" s="34">
        <v>1</v>
      </c>
    </row>
    <row r="34" spans="1:9">
      <c r="A34" s="79" t="s">
        <v>146</v>
      </c>
      <c r="B34" s="25" t="s">
        <v>85</v>
      </c>
      <c r="C34" s="39">
        <v>401</v>
      </c>
      <c r="D34" s="9">
        <v>41413</v>
      </c>
      <c r="E34" s="12" t="s">
        <v>125</v>
      </c>
      <c r="F34" s="10">
        <v>1448.52</v>
      </c>
      <c r="G34" s="10">
        <v>1674.85</v>
      </c>
      <c r="H34" s="10">
        <v>362130.59</v>
      </c>
      <c r="I34" s="34">
        <v>1</v>
      </c>
    </row>
    <row r="35" spans="1:9">
      <c r="A35" s="79" t="s">
        <v>124</v>
      </c>
      <c r="B35" s="25" t="s">
        <v>85</v>
      </c>
      <c r="C35" s="39">
        <v>602</v>
      </c>
      <c r="D35" s="9">
        <v>41343</v>
      </c>
      <c r="E35" s="12" t="s">
        <v>125</v>
      </c>
      <c r="F35" s="10">
        <v>10027</v>
      </c>
      <c r="G35" s="10"/>
      <c r="H35" s="10">
        <v>370000</v>
      </c>
      <c r="I35" s="34">
        <v>1</v>
      </c>
    </row>
    <row r="36" spans="1:9">
      <c r="A36" s="79" t="s">
        <v>146</v>
      </c>
      <c r="B36" s="25" t="s">
        <v>85</v>
      </c>
      <c r="C36" s="39">
        <v>911</v>
      </c>
      <c r="D36" s="9">
        <v>41420</v>
      </c>
      <c r="E36" s="12" t="s">
        <v>125</v>
      </c>
      <c r="F36" s="10">
        <v>1528.66</v>
      </c>
      <c r="G36" s="10">
        <v>1767.51</v>
      </c>
      <c r="H36" s="10">
        <v>382164</v>
      </c>
      <c r="I36" s="34">
        <v>1</v>
      </c>
    </row>
    <row r="37" spans="1:9">
      <c r="A37" s="79" t="s">
        <v>146</v>
      </c>
      <c r="B37" s="25" t="s">
        <v>85</v>
      </c>
      <c r="C37" s="39">
        <v>1415</v>
      </c>
      <c r="D37" s="9">
        <v>41423</v>
      </c>
      <c r="E37" s="12" t="s">
        <v>125</v>
      </c>
      <c r="F37" s="10">
        <v>1579.03</v>
      </c>
      <c r="G37" s="10">
        <v>1825.75</v>
      </c>
      <c r="H37" s="10">
        <v>394756.6</v>
      </c>
      <c r="I37" s="34">
        <v>1</v>
      </c>
    </row>
    <row r="38" spans="1:9">
      <c r="A38" s="15" t="s">
        <v>138</v>
      </c>
      <c r="B38" s="25" t="s">
        <v>300</v>
      </c>
      <c r="C38" s="39">
        <v>35</v>
      </c>
      <c r="D38" s="9">
        <v>41453</v>
      </c>
      <c r="E38" s="12" t="s">
        <v>125</v>
      </c>
      <c r="F38" s="10">
        <v>1334</v>
      </c>
      <c r="G38" s="10">
        <v>0</v>
      </c>
      <c r="H38" s="10">
        <v>222333.29</v>
      </c>
      <c r="I38" s="34">
        <v>1</v>
      </c>
    </row>
    <row r="39" spans="1:9">
      <c r="A39" s="79" t="s">
        <v>146</v>
      </c>
      <c r="B39" s="25" t="s">
        <v>85</v>
      </c>
      <c r="C39" s="39">
        <v>1914</v>
      </c>
      <c r="D39" s="9">
        <v>41415</v>
      </c>
      <c r="E39" s="12" t="s">
        <v>125</v>
      </c>
      <c r="F39" s="10">
        <v>0</v>
      </c>
      <c r="G39" s="10">
        <v>0</v>
      </c>
      <c r="H39" s="10">
        <v>375480.16</v>
      </c>
      <c r="I39" s="34">
        <v>1</v>
      </c>
    </row>
    <row r="40" spans="1:9">
      <c r="A40" s="79" t="s">
        <v>126</v>
      </c>
      <c r="B40" s="25" t="s">
        <v>85</v>
      </c>
      <c r="C40" s="39">
        <v>43</v>
      </c>
      <c r="D40" s="9">
        <v>41340</v>
      </c>
      <c r="E40" s="12" t="s">
        <v>127</v>
      </c>
      <c r="F40" s="10">
        <f>H40*2.5%</f>
        <v>10275</v>
      </c>
      <c r="G40" s="10"/>
      <c r="H40" s="10">
        <v>411000</v>
      </c>
      <c r="I40" s="34">
        <v>1</v>
      </c>
    </row>
    <row r="41" spans="1:9">
      <c r="A41" s="77" t="s">
        <v>111</v>
      </c>
      <c r="B41" s="78" t="s">
        <v>121</v>
      </c>
      <c r="C41" s="39">
        <v>44</v>
      </c>
      <c r="D41" s="12">
        <v>41333</v>
      </c>
      <c r="E41" s="12" t="s">
        <v>127</v>
      </c>
      <c r="F41" s="10">
        <f>H41*4%</f>
        <v>32000</v>
      </c>
      <c r="G41" s="10">
        <v>0</v>
      </c>
      <c r="H41" s="10">
        <v>800000</v>
      </c>
      <c r="I41" s="34">
        <v>1</v>
      </c>
    </row>
    <row r="42" spans="1:9">
      <c r="A42" s="15" t="s">
        <v>114</v>
      </c>
      <c r="B42" s="25" t="s">
        <v>118</v>
      </c>
      <c r="C42" s="42">
        <v>45</v>
      </c>
      <c r="D42" s="9">
        <v>41295</v>
      </c>
      <c r="E42" s="12" t="s">
        <v>127</v>
      </c>
      <c r="F42" s="93">
        <v>7990</v>
      </c>
      <c r="G42" s="10"/>
      <c r="H42" s="10">
        <v>235000</v>
      </c>
      <c r="I42" s="34">
        <v>1</v>
      </c>
    </row>
    <row r="43" spans="1:9">
      <c r="A43" s="79" t="s">
        <v>124</v>
      </c>
      <c r="B43" s="25" t="s">
        <v>85</v>
      </c>
      <c r="C43" s="39">
        <v>109</v>
      </c>
      <c r="D43" s="9">
        <v>41343</v>
      </c>
      <c r="E43" s="12" t="s">
        <v>127</v>
      </c>
      <c r="F43" s="10">
        <v>10813.77</v>
      </c>
      <c r="G43" s="10"/>
      <c r="H43" s="10">
        <v>428268.1</v>
      </c>
      <c r="I43" s="34">
        <v>1</v>
      </c>
    </row>
    <row r="44" spans="1:9">
      <c r="A44" s="15" t="s">
        <v>114</v>
      </c>
      <c r="B44" s="25" t="s">
        <v>137</v>
      </c>
      <c r="C44" s="42">
        <v>171</v>
      </c>
      <c r="D44" s="9">
        <v>41394</v>
      </c>
      <c r="E44" s="12" t="s">
        <v>127</v>
      </c>
      <c r="F44" s="94">
        <v>2400</v>
      </c>
      <c r="G44" s="10">
        <v>0</v>
      </c>
      <c r="H44" s="10">
        <v>400000</v>
      </c>
      <c r="I44" s="34">
        <v>1</v>
      </c>
    </row>
    <row r="45" spans="1:9">
      <c r="A45" s="15" t="s">
        <v>57</v>
      </c>
      <c r="B45" s="25" t="s">
        <v>88</v>
      </c>
      <c r="C45" s="39">
        <v>172</v>
      </c>
      <c r="D45" s="12">
        <v>41330</v>
      </c>
      <c r="E45" s="12" t="s">
        <v>127</v>
      </c>
      <c r="F45" s="10">
        <f>H45*4%</f>
        <v>10980</v>
      </c>
      <c r="G45" s="10">
        <f>11254.5-F45</f>
        <v>274.5</v>
      </c>
      <c r="H45" s="10">
        <v>274500</v>
      </c>
      <c r="I45" s="34">
        <v>1</v>
      </c>
    </row>
    <row r="46" spans="1:9">
      <c r="A46" s="15" t="s">
        <v>120</v>
      </c>
      <c r="B46" s="25" t="s">
        <v>113</v>
      </c>
      <c r="C46" s="42">
        <v>176</v>
      </c>
      <c r="D46" s="9">
        <v>41332</v>
      </c>
      <c r="E46" s="12" t="s">
        <v>127</v>
      </c>
      <c r="F46" s="10">
        <f>H46*1.6%</f>
        <v>14074.053599999999</v>
      </c>
      <c r="G46" s="10">
        <f>22430.52-F46</f>
        <v>8356.4664000000012</v>
      </c>
      <c r="H46" s="10">
        <v>879628.35</v>
      </c>
      <c r="I46" s="34">
        <v>1</v>
      </c>
    </row>
    <row r="47" spans="1:9">
      <c r="A47" s="79" t="s">
        <v>124</v>
      </c>
      <c r="B47" s="25" t="s">
        <v>85</v>
      </c>
      <c r="C47" s="39">
        <v>401</v>
      </c>
      <c r="D47" s="9">
        <v>41343</v>
      </c>
      <c r="E47" s="12" t="s">
        <v>127</v>
      </c>
      <c r="F47" s="10">
        <v>8272.4699999999993</v>
      </c>
      <c r="G47" s="10"/>
      <c r="H47" s="10">
        <v>408516.96</v>
      </c>
      <c r="I47" s="34">
        <v>1</v>
      </c>
    </row>
    <row r="48" spans="1:9" s="7" customFormat="1">
      <c r="A48" s="79" t="s">
        <v>124</v>
      </c>
      <c r="B48" s="25" t="s">
        <v>85</v>
      </c>
      <c r="C48" s="39">
        <v>402</v>
      </c>
      <c r="D48" s="9">
        <v>41343</v>
      </c>
      <c r="E48" s="12" t="s">
        <v>127</v>
      </c>
      <c r="F48" s="10">
        <v>8427.7199999999993</v>
      </c>
      <c r="G48" s="10"/>
      <c r="H48" s="10">
        <v>416183.53</v>
      </c>
      <c r="I48" s="34">
        <v>1</v>
      </c>
    </row>
    <row r="49" spans="1:9" s="7" customFormat="1">
      <c r="A49" s="79" t="s">
        <v>124</v>
      </c>
      <c r="B49" s="25" t="s">
        <v>85</v>
      </c>
      <c r="C49" s="39">
        <v>403</v>
      </c>
      <c r="D49" s="9">
        <v>41343</v>
      </c>
      <c r="E49" s="12" t="s">
        <v>127</v>
      </c>
      <c r="F49" s="10">
        <v>8161.58</v>
      </c>
      <c r="G49" s="10"/>
      <c r="H49" s="10">
        <v>403041</v>
      </c>
      <c r="I49" s="34">
        <v>1</v>
      </c>
    </row>
    <row r="50" spans="1:9" s="7" customFormat="1">
      <c r="A50" s="79" t="s">
        <v>124</v>
      </c>
      <c r="B50" s="25" t="s">
        <v>85</v>
      </c>
      <c r="C50" s="39">
        <v>404</v>
      </c>
      <c r="D50" s="9">
        <v>41344</v>
      </c>
      <c r="E50" s="12" t="s">
        <v>127</v>
      </c>
      <c r="F50" s="10">
        <v>8107.66</v>
      </c>
      <c r="G50" s="10"/>
      <c r="H50" s="10">
        <v>400378.48</v>
      </c>
      <c r="I50" s="34">
        <v>1</v>
      </c>
    </row>
    <row r="51" spans="1:9" s="7" customFormat="1">
      <c r="A51" s="79" t="s">
        <v>124</v>
      </c>
      <c r="B51" s="25" t="s">
        <v>85</v>
      </c>
      <c r="C51" s="39">
        <v>405</v>
      </c>
      <c r="D51" s="9">
        <v>41344</v>
      </c>
      <c r="E51" s="12" t="s">
        <v>127</v>
      </c>
      <c r="F51" s="10">
        <v>8373.9599999999991</v>
      </c>
      <c r="G51" s="10"/>
      <c r="H51" s="10">
        <v>413528.75</v>
      </c>
      <c r="I51" s="34">
        <v>1</v>
      </c>
    </row>
    <row r="52" spans="1:9" s="7" customFormat="1">
      <c r="A52" s="79" t="s">
        <v>124</v>
      </c>
      <c r="B52" s="25" t="s">
        <v>85</v>
      </c>
      <c r="C52" s="39">
        <v>406</v>
      </c>
      <c r="D52" s="9">
        <v>41344</v>
      </c>
      <c r="E52" s="12" t="s">
        <v>127</v>
      </c>
      <c r="F52" s="10">
        <v>8218.36</v>
      </c>
      <c r="G52" s="10"/>
      <c r="H52" s="10">
        <v>405845.16</v>
      </c>
      <c r="I52" s="34">
        <v>1</v>
      </c>
    </row>
    <row r="53" spans="1:9" s="7" customFormat="1">
      <c r="A53" s="79" t="s">
        <v>124</v>
      </c>
      <c r="B53" s="25" t="s">
        <v>85</v>
      </c>
      <c r="C53" s="39">
        <v>407</v>
      </c>
      <c r="D53" s="9">
        <v>41344</v>
      </c>
      <c r="E53" s="12" t="s">
        <v>127</v>
      </c>
      <c r="F53" s="10">
        <v>8272.4699999999993</v>
      </c>
      <c r="G53" s="10"/>
      <c r="H53" s="10">
        <v>408516.96</v>
      </c>
      <c r="I53" s="34">
        <v>1</v>
      </c>
    </row>
    <row r="54" spans="1:9" s="7" customFormat="1">
      <c r="A54" s="79" t="s">
        <v>124</v>
      </c>
      <c r="B54" s="25" t="s">
        <v>85</v>
      </c>
      <c r="C54" s="39">
        <v>601</v>
      </c>
      <c r="D54" s="9">
        <v>41343</v>
      </c>
      <c r="E54" s="12" t="s">
        <v>127</v>
      </c>
      <c r="F54" s="10">
        <v>10027</v>
      </c>
      <c r="G54" s="10"/>
      <c r="H54" s="10">
        <v>370000</v>
      </c>
      <c r="I54" s="34">
        <v>1</v>
      </c>
    </row>
    <row r="55" spans="1:9">
      <c r="A55" s="79" t="s">
        <v>124</v>
      </c>
      <c r="B55" s="25" t="s">
        <v>85</v>
      </c>
      <c r="C55" s="39">
        <v>1401</v>
      </c>
      <c r="D55" s="9">
        <v>41344</v>
      </c>
      <c r="E55" s="12" t="s">
        <v>127</v>
      </c>
      <c r="F55" s="10">
        <v>11528.45</v>
      </c>
      <c r="G55" s="10"/>
      <c r="H55" s="10">
        <v>456572.4</v>
      </c>
      <c r="I55" s="34">
        <v>1</v>
      </c>
    </row>
    <row r="56" spans="1:9">
      <c r="A56" s="79" t="s">
        <v>124</v>
      </c>
      <c r="B56" s="25" t="s">
        <v>85</v>
      </c>
      <c r="C56" s="39">
        <v>1402</v>
      </c>
      <c r="D56" s="9">
        <v>41344</v>
      </c>
      <c r="E56" s="12" t="s">
        <v>127</v>
      </c>
      <c r="F56" s="10">
        <v>11752.51</v>
      </c>
      <c r="G56" s="10"/>
      <c r="H56" s="10">
        <v>465445.9</v>
      </c>
      <c r="I56" s="34">
        <v>1</v>
      </c>
    </row>
    <row r="57" spans="1:9">
      <c r="A57" s="79" t="s">
        <v>124</v>
      </c>
      <c r="B57" s="25" t="s">
        <v>85</v>
      </c>
      <c r="C57" s="39">
        <v>1403</v>
      </c>
      <c r="D57" s="9">
        <v>41344</v>
      </c>
      <c r="E57" s="12" t="s">
        <v>127</v>
      </c>
      <c r="F57" s="10">
        <v>11368.04</v>
      </c>
      <c r="G57" s="10"/>
      <c r="H57" s="10">
        <v>450219.3</v>
      </c>
      <c r="I57" s="34">
        <v>1</v>
      </c>
    </row>
    <row r="58" spans="1:9">
      <c r="A58" s="79" t="s">
        <v>124</v>
      </c>
      <c r="B58" s="25" t="s">
        <v>85</v>
      </c>
      <c r="C58" s="39">
        <v>1404</v>
      </c>
      <c r="D58" s="9">
        <v>41344</v>
      </c>
      <c r="E58" s="12" t="s">
        <v>127</v>
      </c>
      <c r="F58" s="10">
        <v>11368.04</v>
      </c>
      <c r="G58" s="10"/>
      <c r="H58" s="10">
        <v>450219.3</v>
      </c>
      <c r="I58" s="34">
        <v>1</v>
      </c>
    </row>
    <row r="59" spans="1:9">
      <c r="A59" s="79" t="s">
        <v>124</v>
      </c>
      <c r="B59" s="25" t="s">
        <v>85</v>
      </c>
      <c r="C59" s="39">
        <v>1412</v>
      </c>
      <c r="D59" s="9">
        <v>41344</v>
      </c>
      <c r="E59" s="12" t="s">
        <v>127</v>
      </c>
      <c r="F59" s="10">
        <v>11528.45</v>
      </c>
      <c r="G59" s="10"/>
      <c r="H59" s="10">
        <v>456572.4</v>
      </c>
      <c r="I59" s="34">
        <v>1</v>
      </c>
    </row>
    <row r="60" spans="1:9">
      <c r="A60" s="15" t="s">
        <v>89</v>
      </c>
      <c r="B60" s="25" t="s">
        <v>82</v>
      </c>
      <c r="C60" s="42">
        <v>22</v>
      </c>
      <c r="D60" s="9">
        <v>41380</v>
      </c>
      <c r="E60" s="12" t="s">
        <v>90</v>
      </c>
      <c r="F60" s="10">
        <f>H60*4%</f>
        <v>80000</v>
      </c>
      <c r="G60" s="10"/>
      <c r="H60" s="10">
        <v>2000000</v>
      </c>
      <c r="I60" s="62">
        <v>1</v>
      </c>
    </row>
    <row r="61" spans="1:9" s="7" customFormat="1">
      <c r="A61" s="15" t="s">
        <v>139</v>
      </c>
      <c r="B61" s="25" t="s">
        <v>165</v>
      </c>
      <c r="C61" s="39">
        <v>25</v>
      </c>
      <c r="D61" s="9">
        <v>41413</v>
      </c>
      <c r="E61" s="12" t="s">
        <v>90</v>
      </c>
      <c r="F61" s="10">
        <v>630</v>
      </c>
      <c r="G61" s="10">
        <v>0</v>
      </c>
      <c r="H61" s="10">
        <v>105000</v>
      </c>
      <c r="I61" s="62">
        <v>0.5</v>
      </c>
    </row>
    <row r="62" spans="1:9" s="7" customFormat="1">
      <c r="A62" s="15" t="s">
        <v>89</v>
      </c>
      <c r="B62" s="25" t="s">
        <v>82</v>
      </c>
      <c r="C62" s="42">
        <v>71</v>
      </c>
      <c r="D62" s="9">
        <v>41394</v>
      </c>
      <c r="E62" s="12" t="s">
        <v>90</v>
      </c>
      <c r="F62" s="10">
        <v>16800</v>
      </c>
      <c r="G62" s="10"/>
      <c r="H62" s="10">
        <v>2100000</v>
      </c>
      <c r="I62" s="62">
        <v>1</v>
      </c>
    </row>
    <row r="63" spans="1:9" s="7" customFormat="1">
      <c r="A63" s="15" t="s">
        <v>89</v>
      </c>
      <c r="B63" s="25" t="s">
        <v>82</v>
      </c>
      <c r="C63" s="42">
        <v>111</v>
      </c>
      <c r="D63" s="9">
        <v>41381</v>
      </c>
      <c r="E63" s="12" t="s">
        <v>90</v>
      </c>
      <c r="F63" s="10">
        <v>10530</v>
      </c>
      <c r="G63" s="10"/>
      <c r="H63" s="10">
        <v>1080000</v>
      </c>
      <c r="I63" s="62">
        <v>0.5</v>
      </c>
    </row>
    <row r="64" spans="1:9" s="7" customFormat="1">
      <c r="A64" s="15" t="s">
        <v>166</v>
      </c>
      <c r="B64" s="25" t="s">
        <v>167</v>
      </c>
      <c r="C64" s="39">
        <v>111</v>
      </c>
      <c r="D64" s="9">
        <v>41417</v>
      </c>
      <c r="E64" s="12" t="s">
        <v>90</v>
      </c>
      <c r="F64" s="10">
        <v>1850.4</v>
      </c>
      <c r="G64" s="10">
        <v>0</v>
      </c>
      <c r="H64" s="10">
        <v>231300</v>
      </c>
      <c r="I64" s="62">
        <v>1</v>
      </c>
    </row>
    <row r="65" spans="1:9" s="7" customFormat="1">
      <c r="A65" s="15" t="s">
        <v>145</v>
      </c>
      <c r="B65" s="25" t="s">
        <v>85</v>
      </c>
      <c r="C65" s="39">
        <v>402</v>
      </c>
      <c r="D65" s="9">
        <v>41414</v>
      </c>
      <c r="E65" s="12" t="s">
        <v>90</v>
      </c>
      <c r="F65" s="10">
        <v>1484.74</v>
      </c>
      <c r="G65" s="10">
        <v>1716.73</v>
      </c>
      <c r="H65" s="10">
        <v>371184.04</v>
      </c>
      <c r="I65" s="62">
        <v>1</v>
      </c>
    </row>
    <row r="66" spans="1:9" s="7" customFormat="1">
      <c r="A66" s="15" t="s">
        <v>145</v>
      </c>
      <c r="B66" s="25" t="s">
        <v>85</v>
      </c>
      <c r="C66" s="39">
        <v>513</v>
      </c>
      <c r="D66" s="9">
        <v>41411</v>
      </c>
      <c r="E66" s="12" t="s">
        <v>90</v>
      </c>
      <c r="F66" s="10">
        <v>1986.43</v>
      </c>
      <c r="G66" s="10">
        <v>2296.81</v>
      </c>
      <c r="H66" s="10">
        <v>496606.83</v>
      </c>
      <c r="I66" s="62">
        <v>1</v>
      </c>
    </row>
    <row r="67" spans="1:9" s="7" customFormat="1">
      <c r="A67" s="15" t="s">
        <v>145</v>
      </c>
      <c r="B67" s="25" t="s">
        <v>85</v>
      </c>
      <c r="C67" s="39">
        <v>1104</v>
      </c>
      <c r="D67" s="9">
        <v>41411</v>
      </c>
      <c r="E67" s="12" t="s">
        <v>90</v>
      </c>
      <c r="F67" s="10">
        <v>1966.5</v>
      </c>
      <c r="G67" s="10">
        <v>2273.7600000000002</v>
      </c>
      <c r="H67" s="10">
        <v>491624.63</v>
      </c>
      <c r="I67" s="62">
        <v>1</v>
      </c>
    </row>
    <row r="68" spans="1:9" s="7" customFormat="1">
      <c r="A68" s="15" t="s">
        <v>145</v>
      </c>
      <c r="B68" s="25" t="s">
        <v>85</v>
      </c>
      <c r="C68" s="39">
        <v>2403</v>
      </c>
      <c r="D68" s="9">
        <v>41407</v>
      </c>
      <c r="E68" s="12" t="s">
        <v>90</v>
      </c>
      <c r="F68" s="10">
        <v>1539.2</v>
      </c>
      <c r="G68" s="10">
        <v>1779.69</v>
      </c>
      <c r="H68" s="10">
        <v>384798.85</v>
      </c>
      <c r="I68" s="62">
        <v>1</v>
      </c>
    </row>
    <row r="69" spans="1:9" s="7" customFormat="1">
      <c r="A69" s="15" t="s">
        <v>145</v>
      </c>
      <c r="B69" s="25" t="s">
        <v>85</v>
      </c>
      <c r="C69" s="39">
        <v>2513</v>
      </c>
      <c r="D69" s="9">
        <v>41403</v>
      </c>
      <c r="E69" s="12" t="s">
        <v>90</v>
      </c>
      <c r="F69" s="10">
        <v>2738.05</v>
      </c>
      <c r="G69" s="10">
        <v>1899.52</v>
      </c>
      <c r="H69" s="10">
        <v>491214.29</v>
      </c>
      <c r="I69" s="62">
        <v>1</v>
      </c>
    </row>
    <row r="70" spans="1:9" s="7" customFormat="1">
      <c r="A70" s="15" t="s">
        <v>145</v>
      </c>
      <c r="B70" s="25" t="s">
        <v>85</v>
      </c>
      <c r="C70" s="39">
        <v>2612</v>
      </c>
      <c r="D70" s="9">
        <v>41403</v>
      </c>
      <c r="E70" s="12" t="s">
        <v>90</v>
      </c>
      <c r="F70" s="10">
        <v>2738.05</v>
      </c>
      <c r="G70" s="10">
        <v>1899.52</v>
      </c>
      <c r="H70" s="10">
        <v>684512</v>
      </c>
      <c r="I70" s="62">
        <v>1</v>
      </c>
    </row>
    <row r="71" spans="1:9" s="7" customFormat="1">
      <c r="A71" s="15" t="s">
        <v>145</v>
      </c>
      <c r="B71" s="25" t="s">
        <v>85</v>
      </c>
      <c r="C71" s="39">
        <v>1316</v>
      </c>
      <c r="D71" s="9">
        <v>41441</v>
      </c>
      <c r="E71" s="12" t="s">
        <v>90</v>
      </c>
      <c r="F71" s="10">
        <v>1576.48</v>
      </c>
      <c r="G71" s="10">
        <v>1822.81</v>
      </c>
      <c r="H71" s="10">
        <v>394120.81</v>
      </c>
      <c r="I71" s="62">
        <v>1</v>
      </c>
    </row>
    <row r="72" spans="1:9" s="7" customFormat="1">
      <c r="A72" s="15" t="s">
        <v>270</v>
      </c>
      <c r="B72" s="25" t="s">
        <v>273</v>
      </c>
      <c r="C72" s="42">
        <v>13</v>
      </c>
      <c r="D72" s="9">
        <v>41452</v>
      </c>
      <c r="E72" s="12" t="s">
        <v>90</v>
      </c>
      <c r="F72" s="10">
        <v>891.66</v>
      </c>
      <c r="G72" s="10">
        <v>902.8</v>
      </c>
      <c r="H72" s="10">
        <v>222914.63</v>
      </c>
      <c r="I72" s="62">
        <v>0.5</v>
      </c>
    </row>
    <row r="73" spans="1:9" s="7" customFormat="1">
      <c r="A73" s="15" t="s">
        <v>270</v>
      </c>
      <c r="B73" s="25" t="s">
        <v>278</v>
      </c>
      <c r="C73" s="39">
        <v>83</v>
      </c>
      <c r="D73" s="9">
        <v>41451</v>
      </c>
      <c r="E73" s="12" t="s">
        <v>90</v>
      </c>
      <c r="F73" s="10">
        <v>2677.16</v>
      </c>
      <c r="G73" s="10">
        <v>1422.24</v>
      </c>
      <c r="H73" s="10">
        <v>669289.18000000005</v>
      </c>
      <c r="I73" s="34">
        <v>1</v>
      </c>
    </row>
    <row r="74" spans="1:9" s="7" customFormat="1">
      <c r="A74" s="15" t="s">
        <v>145</v>
      </c>
      <c r="B74" s="25" t="s">
        <v>85</v>
      </c>
      <c r="C74" s="39">
        <v>1716</v>
      </c>
      <c r="D74" s="9">
        <v>41453</v>
      </c>
      <c r="E74" s="12" t="s">
        <v>90</v>
      </c>
      <c r="F74" s="10">
        <v>1620.68</v>
      </c>
      <c r="G74" s="10">
        <v>1873.92</v>
      </c>
      <c r="H74" s="10">
        <v>405170.97</v>
      </c>
      <c r="I74" s="34">
        <v>1</v>
      </c>
    </row>
    <row r="75" spans="1:9" s="7" customFormat="1">
      <c r="A75" s="15" t="s">
        <v>299</v>
      </c>
      <c r="B75" s="25" t="s">
        <v>85</v>
      </c>
      <c r="C75" s="39">
        <v>203</v>
      </c>
      <c r="D75" s="9">
        <v>41455</v>
      </c>
      <c r="E75" s="12" t="s">
        <v>90</v>
      </c>
      <c r="F75" s="10">
        <v>2973.6</v>
      </c>
      <c r="G75" s="10">
        <v>0</v>
      </c>
      <c r="H75" s="10">
        <v>371700</v>
      </c>
      <c r="I75" s="34">
        <v>1</v>
      </c>
    </row>
    <row r="76" spans="1:9" s="7" customFormat="1">
      <c r="A76" s="15"/>
      <c r="B76" s="25"/>
      <c r="C76" s="39"/>
      <c r="D76" s="9"/>
      <c r="E76" s="12"/>
      <c r="F76" s="10"/>
      <c r="G76" s="10"/>
      <c r="H76" s="10"/>
      <c r="I76" s="62"/>
    </row>
    <row r="77" spans="1:9">
      <c r="A77" s="15"/>
      <c r="B77" s="25"/>
      <c r="C77" s="39"/>
      <c r="D77" s="9"/>
      <c r="E77" s="12"/>
      <c r="F77" s="10"/>
      <c r="G77" s="10"/>
      <c r="H77" s="10"/>
      <c r="I77" s="62"/>
    </row>
    <row r="78" spans="1:9">
      <c r="A78" s="15"/>
      <c r="B78" s="25"/>
      <c r="C78" s="39"/>
      <c r="D78" s="9"/>
      <c r="E78" s="12"/>
      <c r="F78" s="10"/>
      <c r="G78" s="10"/>
      <c r="H78" s="10"/>
      <c r="I78" s="62"/>
    </row>
    <row r="79" spans="1:9">
      <c r="A79" s="15"/>
      <c r="B79" s="25"/>
      <c r="C79" s="39"/>
      <c r="D79" s="9"/>
      <c r="E79" s="12"/>
      <c r="F79" s="10"/>
      <c r="G79" s="10"/>
      <c r="H79" s="10"/>
      <c r="I79" s="62"/>
    </row>
    <row r="80" spans="1:9">
      <c r="A80" s="15"/>
      <c r="B80" s="25"/>
      <c r="C80" s="39"/>
      <c r="D80" s="9"/>
      <c r="E80" s="12"/>
      <c r="F80" s="10"/>
      <c r="G80" s="10"/>
      <c r="H80" s="10"/>
      <c r="I80" s="62"/>
    </row>
    <row r="81" spans="1:9">
      <c r="A81" s="15"/>
      <c r="B81" s="25"/>
      <c r="C81" s="39"/>
      <c r="D81" s="9"/>
      <c r="E81" s="12"/>
      <c r="F81" s="10"/>
      <c r="G81" s="10"/>
      <c r="H81" s="10"/>
      <c r="I81" s="62"/>
    </row>
    <row r="82" spans="1:9">
      <c r="A82" s="15"/>
      <c r="B82" s="25"/>
      <c r="C82" s="39"/>
      <c r="D82" s="9"/>
      <c r="E82" s="12"/>
      <c r="F82" s="10"/>
      <c r="G82" s="10"/>
      <c r="H82" s="10"/>
      <c r="I82" s="62"/>
    </row>
    <row r="83" spans="1:9">
      <c r="A83" s="15"/>
      <c r="B83" s="25"/>
      <c r="C83" s="39"/>
      <c r="D83" s="9"/>
      <c r="E83" s="12"/>
      <c r="F83" s="10"/>
      <c r="G83" s="10"/>
      <c r="H83" s="10"/>
      <c r="I83" s="62"/>
    </row>
    <row r="84" spans="1:9">
      <c r="A84" s="15"/>
      <c r="B84" s="25"/>
      <c r="C84" s="39"/>
      <c r="D84" s="9"/>
      <c r="E84" s="12"/>
      <c r="F84" s="10"/>
      <c r="G84" s="10"/>
      <c r="H84" s="10"/>
      <c r="I84" s="62"/>
    </row>
    <row r="85" spans="1:9">
      <c r="A85" s="15"/>
      <c r="B85" s="25"/>
      <c r="C85" s="39"/>
      <c r="D85" s="9"/>
      <c r="E85" s="12"/>
      <c r="F85" s="10"/>
      <c r="G85" s="10"/>
      <c r="H85" s="10"/>
      <c r="I85" s="62"/>
    </row>
    <row r="86" spans="1:9">
      <c r="A86" s="15"/>
      <c r="B86" s="25"/>
      <c r="C86" s="39"/>
      <c r="D86" s="9"/>
      <c r="E86" s="12"/>
      <c r="F86" s="10"/>
      <c r="G86" s="10"/>
      <c r="H86" s="10"/>
      <c r="I86" s="62"/>
    </row>
    <row r="87" spans="1:9">
      <c r="A87" s="15"/>
      <c r="B87" s="25"/>
      <c r="C87" s="39"/>
      <c r="D87" s="9"/>
      <c r="E87" s="12"/>
      <c r="F87" s="10"/>
      <c r="G87" s="10"/>
      <c r="H87" s="10"/>
      <c r="I87" s="62"/>
    </row>
    <row r="88" spans="1:9">
      <c r="A88" s="15"/>
      <c r="B88" s="25"/>
      <c r="C88" s="39"/>
      <c r="D88" s="9"/>
      <c r="E88" s="12"/>
      <c r="F88" s="10"/>
      <c r="G88" s="10"/>
      <c r="H88" s="10"/>
      <c r="I88" s="62"/>
    </row>
    <row r="89" spans="1:9">
      <c r="H89" s="95">
        <f>SUM(H2:H71)</f>
        <v>32440523.049999997</v>
      </c>
      <c r="I89" s="96">
        <f>SUM(I2:I71)</f>
        <v>66</v>
      </c>
    </row>
  </sheetData>
  <autoFilter ref="A1:I1">
    <sortState ref="A2:I60">
      <sortCondition ref="E1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workbookViewId="0">
      <selection activeCell="B9" sqref="B9"/>
    </sheetView>
  </sheetViews>
  <sheetFormatPr defaultRowHeight="14.4"/>
  <cols>
    <col min="1" max="1" width="18.5546875" customWidth="1"/>
    <col min="3" max="3" width="10.5546875" customWidth="1"/>
    <col min="4" max="4" width="15.6640625" customWidth="1"/>
    <col min="5" max="5" width="14" customWidth="1"/>
    <col min="6" max="6" width="15.6640625" customWidth="1"/>
    <col min="8" max="8" width="19.33203125" customWidth="1"/>
    <col min="9" max="9" width="17.33203125" customWidth="1"/>
    <col min="10" max="10" width="10.44140625" customWidth="1"/>
    <col min="11" max="11" width="19.33203125" customWidth="1"/>
    <col min="12" max="12" width="17.33203125" customWidth="1"/>
    <col min="13" max="13" width="18.109375" customWidth="1"/>
    <col min="14" max="14" width="16.109375" customWidth="1"/>
    <col min="15" max="15" width="15.109375" customWidth="1"/>
    <col min="16" max="16" width="24" customWidth="1"/>
    <col min="17" max="17" width="15.33203125" customWidth="1"/>
    <col min="18" max="18" width="24.109375" customWidth="1"/>
    <col min="19" max="19" width="17.6640625" customWidth="1"/>
    <col min="21" max="21" width="12.6640625" customWidth="1"/>
    <col min="23" max="23" width="12.109375" customWidth="1"/>
    <col min="26" max="26" width="10" customWidth="1"/>
    <col min="27" max="27" width="14.44140625" customWidth="1"/>
    <col min="28" max="28" width="9.5546875" customWidth="1"/>
    <col min="31" max="31" width="11" customWidth="1"/>
    <col min="32" max="32" width="23" customWidth="1"/>
  </cols>
  <sheetData>
    <row r="1" spans="1:32">
      <c r="A1" t="s">
        <v>11</v>
      </c>
      <c r="B1" t="s">
        <v>10</v>
      </c>
      <c r="C1" t="s">
        <v>0</v>
      </c>
      <c r="D1" t="s">
        <v>326</v>
      </c>
      <c r="E1" t="s">
        <v>338</v>
      </c>
      <c r="F1" t="s">
        <v>1</v>
      </c>
      <c r="G1" t="s">
        <v>2</v>
      </c>
      <c r="H1" t="s">
        <v>347</v>
      </c>
      <c r="I1" t="s">
        <v>348</v>
      </c>
      <c r="J1" t="s">
        <v>6</v>
      </c>
      <c r="K1" t="s">
        <v>345</v>
      </c>
      <c r="L1" t="s">
        <v>346</v>
      </c>
      <c r="M1" t="s">
        <v>354</v>
      </c>
      <c r="N1" t="s">
        <v>355</v>
      </c>
      <c r="O1" t="s">
        <v>343</v>
      </c>
      <c r="P1" t="s">
        <v>344</v>
      </c>
      <c r="Q1" t="s">
        <v>350</v>
      </c>
      <c r="R1" t="s">
        <v>351</v>
      </c>
      <c r="S1" t="s">
        <v>342</v>
      </c>
      <c r="T1" t="s">
        <v>356</v>
      </c>
      <c r="U1" t="s">
        <v>352</v>
      </c>
      <c r="V1" t="s">
        <v>341</v>
      </c>
      <c r="W1" t="s">
        <v>353</v>
      </c>
      <c r="X1" t="s">
        <v>3</v>
      </c>
      <c r="Y1" t="s">
        <v>349</v>
      </c>
      <c r="Z1" t="s">
        <v>358</v>
      </c>
      <c r="AA1" t="s">
        <v>359</v>
      </c>
      <c r="AB1" t="s">
        <v>13</v>
      </c>
      <c r="AC1" t="s">
        <v>324</v>
      </c>
      <c r="AD1" t="s">
        <v>325</v>
      </c>
      <c r="AE1" t="s">
        <v>371</v>
      </c>
      <c r="AF1" t="s">
        <v>378</v>
      </c>
    </row>
    <row r="2" spans="1:32">
      <c r="A2" t="s">
        <v>191</v>
      </c>
      <c r="B2" t="s">
        <v>401</v>
      </c>
      <c r="C2">
        <v>64</v>
      </c>
      <c r="D2" t="s">
        <v>328</v>
      </c>
      <c r="E2" t="s">
        <v>339</v>
      </c>
      <c r="F2" s="270">
        <v>41663</v>
      </c>
      <c r="G2" t="s">
        <v>505</v>
      </c>
      <c r="H2">
        <v>2182.87</v>
      </c>
      <c r="I2">
        <v>1866.35</v>
      </c>
      <c r="J2" t="s">
        <v>23</v>
      </c>
      <c r="K2">
        <v>436.57</v>
      </c>
      <c r="L2">
        <v>933.18</v>
      </c>
      <c r="M2">
        <v>0</v>
      </c>
      <c r="N2">
        <v>0</v>
      </c>
      <c r="O2" t="s">
        <v>363</v>
      </c>
      <c r="P2">
        <v>0</v>
      </c>
      <c r="Q2" t="s">
        <v>364</v>
      </c>
      <c r="R2">
        <v>0</v>
      </c>
      <c r="S2">
        <v>0</v>
      </c>
      <c r="T2" s="270">
        <v>41663</v>
      </c>
      <c r="U2" t="s">
        <v>466</v>
      </c>
      <c r="V2">
        <v>0</v>
      </c>
      <c r="X2">
        <v>109143.535</v>
      </c>
      <c r="Y2">
        <v>109143.535</v>
      </c>
      <c r="AB2">
        <v>0.5</v>
      </c>
      <c r="AC2">
        <v>1</v>
      </c>
      <c r="AD2">
        <v>2014</v>
      </c>
    </row>
    <row r="3" spans="1:32">
      <c r="A3" t="s">
        <v>470</v>
      </c>
      <c r="B3" t="s">
        <v>472</v>
      </c>
      <c r="C3">
        <v>73</v>
      </c>
      <c r="D3" t="s">
        <v>328</v>
      </c>
      <c r="E3" t="s">
        <v>340</v>
      </c>
      <c r="F3" s="270">
        <v>41653</v>
      </c>
      <c r="G3" t="s">
        <v>160</v>
      </c>
      <c r="H3">
        <v>7684.26</v>
      </c>
      <c r="I3">
        <v>5330.96</v>
      </c>
      <c r="J3" t="s">
        <v>23</v>
      </c>
      <c r="K3">
        <v>1921.07</v>
      </c>
      <c r="L3">
        <v>2665.48</v>
      </c>
      <c r="M3">
        <v>480.27</v>
      </c>
      <c r="N3">
        <v>888.49</v>
      </c>
      <c r="O3" t="s">
        <v>63</v>
      </c>
      <c r="P3">
        <v>720.4</v>
      </c>
      <c r="Q3" t="s">
        <v>320</v>
      </c>
      <c r="R3">
        <v>0</v>
      </c>
      <c r="S3">
        <v>5282.93</v>
      </c>
      <c r="T3" s="270">
        <v>42165</v>
      </c>
      <c r="U3">
        <v>3021</v>
      </c>
      <c r="V3">
        <v>1335.22</v>
      </c>
      <c r="W3">
        <v>3021</v>
      </c>
      <c r="X3">
        <v>480266.53</v>
      </c>
      <c r="Y3">
        <v>396231.25</v>
      </c>
      <c r="AB3">
        <v>1</v>
      </c>
      <c r="AC3">
        <v>1</v>
      </c>
      <c r="AD3">
        <v>2014</v>
      </c>
    </row>
    <row r="4" spans="1:32">
      <c r="A4" t="s">
        <v>489</v>
      </c>
      <c r="B4" t="s">
        <v>490</v>
      </c>
      <c r="C4">
        <v>1606</v>
      </c>
      <c r="D4" t="s">
        <v>328</v>
      </c>
      <c r="E4" t="s">
        <v>340</v>
      </c>
      <c r="F4" s="270">
        <v>41647</v>
      </c>
      <c r="G4" t="s">
        <v>504</v>
      </c>
      <c r="H4">
        <v>6567.2</v>
      </c>
      <c r="I4">
        <v>8619.4500000000007</v>
      </c>
      <c r="J4" t="s">
        <v>23</v>
      </c>
      <c r="K4">
        <v>1641.8</v>
      </c>
      <c r="L4">
        <v>4309.72</v>
      </c>
      <c r="M4">
        <v>410.45</v>
      </c>
      <c r="N4">
        <v>1436.57</v>
      </c>
      <c r="O4" t="s">
        <v>491</v>
      </c>
      <c r="P4">
        <v>2462.6999999999998</v>
      </c>
      <c r="Q4" t="s">
        <v>320</v>
      </c>
      <c r="R4">
        <v>0</v>
      </c>
      <c r="S4">
        <v>4104.5</v>
      </c>
      <c r="T4" s="270">
        <v>42195</v>
      </c>
      <c r="U4">
        <v>3017</v>
      </c>
      <c r="V4">
        <v>1138.08</v>
      </c>
      <c r="W4">
        <v>3017</v>
      </c>
      <c r="X4">
        <v>410449.86</v>
      </c>
      <c r="Y4">
        <v>338560.44</v>
      </c>
      <c r="AB4">
        <v>1</v>
      </c>
      <c r="AC4">
        <v>1</v>
      </c>
      <c r="AD4">
        <v>2014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96"/>
  <sheetViews>
    <sheetView showGridLines="0" zoomScaleNormal="100" workbookViewId="0">
      <selection activeCell="H14" sqref="H14"/>
    </sheetView>
  </sheetViews>
  <sheetFormatPr defaultRowHeight="14.4"/>
  <cols>
    <col min="1" max="1" width="18.21875" customWidth="1"/>
    <col min="2" max="2" width="11.88671875" customWidth="1"/>
    <col min="3" max="3" width="14.44140625" customWidth="1"/>
    <col min="4" max="4" width="6.109375" customWidth="1"/>
    <col min="5" max="7" width="6.109375" style="177" customWidth="1"/>
    <col min="8" max="8" width="10" customWidth="1"/>
    <col min="9" max="9" width="18" customWidth="1"/>
    <col min="10" max="10" width="14" customWidth="1"/>
    <col min="11" max="11" width="11.88671875" customWidth="1"/>
    <col min="12" max="12" width="14.44140625" style="177" customWidth="1"/>
    <col min="13" max="13" width="15.6640625" style="177" customWidth="1"/>
    <col min="14" max="14" width="12.5546875" customWidth="1"/>
    <col min="15" max="15" width="12.5546875" bestFit="1" customWidth="1"/>
  </cols>
  <sheetData>
    <row r="1" spans="1:13">
      <c r="A1" s="179" t="s">
        <v>325</v>
      </c>
      <c r="B1" s="145">
        <v>2014</v>
      </c>
      <c r="I1" s="177"/>
      <c r="J1" s="145"/>
    </row>
    <row r="2" spans="1:13">
      <c r="A2" s="179" t="s">
        <v>324</v>
      </c>
      <c r="B2" s="205" t="s">
        <v>549</v>
      </c>
      <c r="I2" s="177"/>
      <c r="J2" s="177"/>
    </row>
    <row r="3" spans="1:13">
      <c r="J3" s="179" t="s">
        <v>325</v>
      </c>
      <c r="K3" s="145">
        <v>2014</v>
      </c>
    </row>
    <row r="4" spans="1:13">
      <c r="B4" s="179" t="s">
        <v>322</v>
      </c>
      <c r="J4" s="179" t="s">
        <v>324</v>
      </c>
      <c r="K4" s="205" t="s">
        <v>549</v>
      </c>
    </row>
    <row r="5" spans="1:13">
      <c r="A5" s="179" t="s">
        <v>543</v>
      </c>
      <c r="B5" s="205" t="s">
        <v>321</v>
      </c>
      <c r="C5" s="205" t="s">
        <v>323</v>
      </c>
      <c r="I5" s="177"/>
      <c r="J5" s="177"/>
      <c r="K5" s="177"/>
    </row>
    <row r="6" spans="1:13">
      <c r="A6" s="182" t="s">
        <v>328</v>
      </c>
      <c r="B6" s="5"/>
      <c r="C6" s="178"/>
      <c r="I6" s="182"/>
      <c r="K6" s="179" t="s">
        <v>322</v>
      </c>
      <c r="L6"/>
      <c r="M6" s="178"/>
    </row>
    <row r="7" spans="1:13">
      <c r="A7" s="144" t="s">
        <v>26</v>
      </c>
      <c r="B7" s="5">
        <v>5716103.4299999997</v>
      </c>
      <c r="C7" s="178">
        <v>15</v>
      </c>
      <c r="I7" s="144"/>
      <c r="J7" s="179" t="s">
        <v>550</v>
      </c>
      <c r="K7" s="205" t="s">
        <v>321</v>
      </c>
      <c r="L7" s="205" t="s">
        <v>323</v>
      </c>
      <c r="M7" s="178"/>
    </row>
    <row r="8" spans="1:13">
      <c r="A8" s="144" t="s">
        <v>27</v>
      </c>
      <c r="B8" s="5">
        <v>4424833.93</v>
      </c>
      <c r="C8" s="178">
        <v>8</v>
      </c>
      <c r="I8" s="144"/>
      <c r="J8" s="182" t="s">
        <v>328</v>
      </c>
      <c r="K8" s="271">
        <v>19598821.739999998</v>
      </c>
      <c r="L8" s="178">
        <v>45.5</v>
      </c>
      <c r="M8" s="178"/>
    </row>
    <row r="9" spans="1:13">
      <c r="A9" s="144" t="s">
        <v>460</v>
      </c>
      <c r="B9" s="5">
        <v>2614828.2400000002</v>
      </c>
      <c r="C9" s="178">
        <v>4</v>
      </c>
      <c r="I9" s="144"/>
      <c r="J9" s="144" t="s">
        <v>367</v>
      </c>
      <c r="K9" s="271">
        <v>2306800</v>
      </c>
      <c r="L9" s="178">
        <v>1</v>
      </c>
      <c r="M9" s="178"/>
    </row>
    <row r="10" spans="1:13">
      <c r="A10" s="144" t="s">
        <v>61</v>
      </c>
      <c r="B10" s="5">
        <v>2199538.12</v>
      </c>
      <c r="C10" s="178">
        <v>5</v>
      </c>
      <c r="I10" s="144"/>
      <c r="J10" s="144" t="s">
        <v>309</v>
      </c>
      <c r="K10" s="271">
        <v>1903186.4300000002</v>
      </c>
      <c r="L10" s="178">
        <v>3</v>
      </c>
      <c r="M10" s="178"/>
    </row>
    <row r="11" spans="1:13">
      <c r="A11" s="144" t="s">
        <v>25</v>
      </c>
      <c r="B11" s="5">
        <v>2086615.3350000002</v>
      </c>
      <c r="C11" s="178">
        <v>6.5</v>
      </c>
      <c r="I11" s="144"/>
      <c r="J11" s="144" t="s">
        <v>540</v>
      </c>
      <c r="K11" s="271">
        <v>1680000</v>
      </c>
      <c r="L11" s="178">
        <v>2</v>
      </c>
      <c r="M11" s="178"/>
    </row>
    <row r="12" spans="1:13">
      <c r="A12" s="144" t="s">
        <v>23</v>
      </c>
      <c r="B12" s="5">
        <v>999859.92500000005</v>
      </c>
      <c r="C12" s="178">
        <v>2.5</v>
      </c>
      <c r="I12" s="144"/>
      <c r="J12" s="144" t="s">
        <v>310</v>
      </c>
      <c r="K12" s="271">
        <v>1368529.12</v>
      </c>
      <c r="L12" s="178">
        <v>2</v>
      </c>
      <c r="M12" s="178"/>
    </row>
    <row r="13" spans="1:13">
      <c r="A13" s="144" t="s">
        <v>24</v>
      </c>
      <c r="B13" s="5">
        <v>813182</v>
      </c>
      <c r="C13" s="178">
        <v>2.5</v>
      </c>
      <c r="I13" s="144"/>
      <c r="J13" s="144" t="s">
        <v>546</v>
      </c>
      <c r="K13" s="271">
        <v>813500</v>
      </c>
      <c r="L13" s="178">
        <v>2</v>
      </c>
      <c r="M13" s="178"/>
    </row>
    <row r="14" spans="1:13">
      <c r="A14" s="144" t="s">
        <v>357</v>
      </c>
      <c r="B14" s="5">
        <v>743860.76</v>
      </c>
      <c r="C14" s="178">
        <v>2</v>
      </c>
      <c r="I14" s="144"/>
      <c r="J14" s="144" t="s">
        <v>283</v>
      </c>
      <c r="K14" s="271">
        <v>771737</v>
      </c>
      <c r="L14" s="178">
        <v>2</v>
      </c>
      <c r="M14" s="178"/>
    </row>
    <row r="15" spans="1:13">
      <c r="A15" s="182" t="s">
        <v>548</v>
      </c>
      <c r="B15" s="271">
        <v>19598821.740000002</v>
      </c>
      <c r="C15" s="178">
        <v>45.5</v>
      </c>
      <c r="I15" s="144"/>
      <c r="J15" s="144" t="s">
        <v>19</v>
      </c>
      <c r="K15" s="271">
        <v>757794.19</v>
      </c>
      <c r="L15" s="178">
        <v>3.5</v>
      </c>
      <c r="M15" s="178"/>
    </row>
    <row r="16" spans="1:13">
      <c r="I16" s="144"/>
      <c r="J16" s="144" t="s">
        <v>148</v>
      </c>
      <c r="K16" s="271">
        <v>710500</v>
      </c>
      <c r="L16" s="178">
        <v>3</v>
      </c>
      <c r="M16" s="178"/>
    </row>
    <row r="17" spans="1:13">
      <c r="I17" s="144"/>
      <c r="J17" s="144" t="s">
        <v>532</v>
      </c>
      <c r="K17" s="271">
        <v>695128.24</v>
      </c>
      <c r="L17" s="178">
        <v>1.5</v>
      </c>
      <c r="M17" s="178"/>
    </row>
    <row r="18" spans="1:13">
      <c r="I18" s="144"/>
      <c r="J18" s="144" t="s">
        <v>235</v>
      </c>
      <c r="K18" s="271">
        <v>692045.55</v>
      </c>
      <c r="L18" s="178">
        <v>2</v>
      </c>
      <c r="M18" s="178"/>
    </row>
    <row r="19" spans="1:13">
      <c r="I19" s="144"/>
      <c r="J19" s="144" t="s">
        <v>262</v>
      </c>
      <c r="K19" s="271">
        <v>686832</v>
      </c>
      <c r="L19" s="178">
        <v>2</v>
      </c>
      <c r="M19" s="178"/>
    </row>
    <row r="20" spans="1:13">
      <c r="I20" s="144"/>
      <c r="J20" s="144" t="s">
        <v>302</v>
      </c>
      <c r="K20" s="271">
        <v>614950</v>
      </c>
      <c r="L20" s="178">
        <v>1.5</v>
      </c>
      <c r="M20" s="178"/>
    </row>
    <row r="21" spans="1:13">
      <c r="I21" s="144"/>
      <c r="J21" s="144" t="s">
        <v>515</v>
      </c>
      <c r="K21" s="271">
        <v>581287</v>
      </c>
      <c r="L21" s="178">
        <v>2</v>
      </c>
      <c r="M21" s="178"/>
    </row>
    <row r="22" spans="1:13">
      <c r="A22" s="179" t="s">
        <v>325</v>
      </c>
      <c r="B22" s="145">
        <v>2014</v>
      </c>
      <c r="I22" s="144"/>
      <c r="J22" s="144" t="s">
        <v>275</v>
      </c>
      <c r="K22" s="271">
        <v>545700</v>
      </c>
      <c r="L22" s="178">
        <v>1</v>
      </c>
      <c r="M22" s="178"/>
    </row>
    <row r="23" spans="1:13">
      <c r="A23" s="179" t="s">
        <v>324</v>
      </c>
      <c r="B23" s="205" t="s">
        <v>549</v>
      </c>
      <c r="I23" s="144"/>
      <c r="J23" s="144" t="s">
        <v>539</v>
      </c>
      <c r="K23" s="271">
        <v>531009</v>
      </c>
      <c r="L23" s="178">
        <v>2</v>
      </c>
      <c r="M23" s="178"/>
    </row>
    <row r="24" spans="1:13">
      <c r="I24" s="144"/>
      <c r="J24" s="144" t="s">
        <v>518</v>
      </c>
      <c r="K24" s="271">
        <v>484115.36</v>
      </c>
      <c r="L24" s="178">
        <v>1</v>
      </c>
      <c r="M24" s="178"/>
    </row>
    <row r="25" spans="1:13">
      <c r="B25" s="179" t="s">
        <v>322</v>
      </c>
      <c r="D25" s="7"/>
      <c r="H25" s="7"/>
      <c r="I25" s="144"/>
      <c r="J25" s="144" t="s">
        <v>160</v>
      </c>
      <c r="K25" s="271">
        <v>480266.53</v>
      </c>
      <c r="L25" s="178">
        <v>1</v>
      </c>
      <c r="M25" s="178"/>
    </row>
    <row r="26" spans="1:13">
      <c r="A26" s="179" t="s">
        <v>550</v>
      </c>
      <c r="B26" s="205" t="s">
        <v>321</v>
      </c>
      <c r="C26" s="205" t="s">
        <v>323</v>
      </c>
      <c r="D26" s="7"/>
      <c r="H26" s="7"/>
      <c r="I26" s="144"/>
      <c r="J26" s="144" t="s">
        <v>504</v>
      </c>
      <c r="K26" s="271">
        <v>410449.86</v>
      </c>
      <c r="L26" s="178">
        <v>1</v>
      </c>
      <c r="M26" s="178"/>
    </row>
    <row r="27" spans="1:13">
      <c r="A27" s="182" t="s">
        <v>327</v>
      </c>
      <c r="B27" s="183">
        <v>1305973.02</v>
      </c>
      <c r="C27" s="178">
        <v>3</v>
      </c>
      <c r="I27" s="144"/>
      <c r="J27" s="144" t="s">
        <v>104</v>
      </c>
      <c r="K27" s="271">
        <v>375593</v>
      </c>
      <c r="L27" s="178">
        <v>1</v>
      </c>
      <c r="M27" s="178"/>
    </row>
    <row r="28" spans="1:13">
      <c r="A28" s="144" t="s">
        <v>360</v>
      </c>
      <c r="B28" s="183">
        <v>1305973.02</v>
      </c>
      <c r="C28" s="178">
        <v>3</v>
      </c>
      <c r="I28" s="144"/>
      <c r="J28" s="144" t="s">
        <v>56</v>
      </c>
      <c r="K28" s="271">
        <v>350300</v>
      </c>
      <c r="L28" s="178">
        <v>1</v>
      </c>
      <c r="M28" s="178"/>
    </row>
    <row r="29" spans="1:13">
      <c r="A29" s="182" t="s">
        <v>548</v>
      </c>
      <c r="B29" s="198">
        <v>1305973.02</v>
      </c>
      <c r="C29" s="178">
        <v>3</v>
      </c>
      <c r="I29" s="144"/>
      <c r="J29" s="144" t="s">
        <v>163</v>
      </c>
      <c r="K29" s="271">
        <v>345960</v>
      </c>
      <c r="L29" s="178">
        <v>1</v>
      </c>
      <c r="M29" s="178"/>
    </row>
    <row r="30" spans="1:13">
      <c r="I30" s="144"/>
      <c r="J30" s="144" t="s">
        <v>461</v>
      </c>
      <c r="K30" s="271">
        <v>304893.53500000003</v>
      </c>
      <c r="L30" s="178">
        <v>1</v>
      </c>
      <c r="M30" s="178"/>
    </row>
    <row r="31" spans="1:13">
      <c r="I31" s="144"/>
      <c r="J31" s="144" t="s">
        <v>291</v>
      </c>
      <c r="K31" s="271">
        <v>300000</v>
      </c>
      <c r="L31" s="178">
        <v>1</v>
      </c>
      <c r="M31" s="178"/>
    </row>
    <row r="32" spans="1:13">
      <c r="I32" s="144"/>
      <c r="J32" s="144" t="s">
        <v>542</v>
      </c>
      <c r="K32" s="271">
        <v>259745.4</v>
      </c>
      <c r="L32" s="178">
        <v>1</v>
      </c>
      <c r="M32" s="178"/>
    </row>
    <row r="33" spans="1:13">
      <c r="I33" s="144"/>
      <c r="J33" s="144" t="s">
        <v>277</v>
      </c>
      <c r="K33" s="271">
        <v>239700</v>
      </c>
      <c r="L33" s="178">
        <v>0.5</v>
      </c>
      <c r="M33" s="178"/>
    </row>
    <row r="34" spans="1:13">
      <c r="I34" s="144"/>
      <c r="J34" s="144" t="s">
        <v>384</v>
      </c>
      <c r="K34" s="271">
        <v>221657.8</v>
      </c>
      <c r="L34" s="178">
        <v>1</v>
      </c>
      <c r="M34" s="178"/>
    </row>
    <row r="35" spans="1:13">
      <c r="I35" s="144"/>
      <c r="J35" s="144" t="s">
        <v>484</v>
      </c>
      <c r="K35" s="271">
        <v>211404</v>
      </c>
      <c r="L35" s="178">
        <v>1</v>
      </c>
      <c r="M35" s="178"/>
    </row>
    <row r="36" spans="1:13">
      <c r="I36" s="144"/>
      <c r="J36" s="144" t="s">
        <v>547</v>
      </c>
      <c r="K36" s="271">
        <v>210000</v>
      </c>
      <c r="L36" s="178">
        <v>1</v>
      </c>
      <c r="M36" s="178"/>
    </row>
    <row r="37" spans="1:13">
      <c r="A37" s="179" t="s">
        <v>325</v>
      </c>
      <c r="B37" s="145">
        <v>2014</v>
      </c>
      <c r="I37" s="144"/>
      <c r="J37" s="144" t="s">
        <v>304</v>
      </c>
      <c r="K37" s="271">
        <v>195750</v>
      </c>
      <c r="L37" s="178">
        <v>0.5</v>
      </c>
      <c r="M37" s="178"/>
    </row>
    <row r="38" spans="1:13">
      <c r="A38" s="179" t="s">
        <v>324</v>
      </c>
      <c r="B38" s="205" t="s">
        <v>549</v>
      </c>
      <c r="I38" s="144"/>
      <c r="J38" s="144" t="s">
        <v>295</v>
      </c>
      <c r="K38" s="271">
        <v>192000</v>
      </c>
      <c r="L38" s="178">
        <v>0.5</v>
      </c>
      <c r="M38" s="178"/>
    </row>
    <row r="39" spans="1:13">
      <c r="A39" s="7"/>
      <c r="I39" s="144"/>
      <c r="J39" s="144" t="s">
        <v>307</v>
      </c>
      <c r="K39" s="271">
        <v>126350</v>
      </c>
      <c r="L39" s="178">
        <v>0.5</v>
      </c>
      <c r="M39" s="178"/>
    </row>
    <row r="40" spans="1:13">
      <c r="B40" s="179" t="s">
        <v>322</v>
      </c>
      <c r="I40" s="144"/>
      <c r="J40" s="144" t="s">
        <v>237</v>
      </c>
      <c r="K40" s="271">
        <v>122494.19</v>
      </c>
      <c r="L40" s="178">
        <v>0.5</v>
      </c>
      <c r="M40" s="178"/>
    </row>
    <row r="41" spans="1:13">
      <c r="A41" s="179" t="s">
        <v>550</v>
      </c>
      <c r="B41" s="205" t="s">
        <v>321</v>
      </c>
      <c r="C41" s="205" t="s">
        <v>323</v>
      </c>
      <c r="I41" s="144"/>
      <c r="J41" s="144" t="s">
        <v>505</v>
      </c>
      <c r="K41" s="271">
        <v>109143.535</v>
      </c>
      <c r="L41" s="178">
        <v>0.5</v>
      </c>
      <c r="M41" s="178"/>
    </row>
    <row r="42" spans="1:13">
      <c r="A42" s="182" t="s">
        <v>329</v>
      </c>
      <c r="B42" s="183">
        <v>3583155</v>
      </c>
      <c r="C42" s="178">
        <v>11.5</v>
      </c>
      <c r="I42" s="144"/>
      <c r="J42" s="182" t="s">
        <v>548</v>
      </c>
      <c r="K42" s="271">
        <v>19598821.739999998</v>
      </c>
      <c r="L42" s="178">
        <v>45.5</v>
      </c>
      <c r="M42" s="178"/>
    </row>
    <row r="43" spans="1:13">
      <c r="A43" s="144" t="s">
        <v>33</v>
      </c>
      <c r="B43" s="183">
        <v>3583155</v>
      </c>
      <c r="C43" s="178">
        <v>11.5</v>
      </c>
      <c r="I43" s="144"/>
      <c r="L43"/>
      <c r="M43" s="178"/>
    </row>
    <row r="44" spans="1:13">
      <c r="A44" s="146" t="s">
        <v>464</v>
      </c>
      <c r="B44" s="183">
        <v>1798600</v>
      </c>
      <c r="C44" s="178">
        <v>6.5</v>
      </c>
      <c r="I44" s="144"/>
      <c r="L44"/>
      <c r="M44" s="178"/>
    </row>
    <row r="45" spans="1:13">
      <c r="A45" s="146" t="s">
        <v>465</v>
      </c>
      <c r="B45" s="183">
        <v>899980</v>
      </c>
      <c r="C45" s="178">
        <v>3</v>
      </c>
      <c r="I45" s="144"/>
      <c r="L45"/>
      <c r="M45" s="178"/>
    </row>
    <row r="46" spans="1:13">
      <c r="A46" s="146" t="s">
        <v>463</v>
      </c>
      <c r="B46" s="183">
        <v>884575</v>
      </c>
      <c r="C46" s="178">
        <v>2</v>
      </c>
      <c r="I46" s="144"/>
      <c r="L46"/>
      <c r="M46" s="178"/>
    </row>
    <row r="47" spans="1:13">
      <c r="A47" s="182" t="s">
        <v>548</v>
      </c>
      <c r="B47" s="198">
        <v>3583155</v>
      </c>
      <c r="C47" s="178">
        <v>11.5</v>
      </c>
      <c r="I47" s="144"/>
      <c r="L47"/>
      <c r="M47" s="178"/>
    </row>
    <row r="48" spans="1:13">
      <c r="I48" s="144"/>
      <c r="L48"/>
      <c r="M48" s="178"/>
    </row>
    <row r="49" spans="2:13">
      <c r="I49" s="144"/>
      <c r="L49"/>
      <c r="M49" s="178"/>
    </row>
    <row r="50" spans="2:13">
      <c r="I50" s="144"/>
      <c r="L50"/>
      <c r="M50" s="178"/>
    </row>
    <row r="51" spans="2:13">
      <c r="I51" s="144"/>
      <c r="L51"/>
      <c r="M51" s="178"/>
    </row>
    <row r="52" spans="2:13">
      <c r="I52" s="144"/>
      <c r="L52"/>
      <c r="M52" s="178"/>
    </row>
    <row r="53" spans="2:13">
      <c r="I53" s="144"/>
      <c r="L53"/>
      <c r="M53" s="178"/>
    </row>
    <row r="54" spans="2:13">
      <c r="C54" s="183"/>
      <c r="I54" s="144"/>
      <c r="L54"/>
      <c r="M54" s="178"/>
    </row>
    <row r="55" spans="2:13">
      <c r="B55" s="198"/>
      <c r="I55" s="144"/>
      <c r="L55"/>
      <c r="M55" s="178"/>
    </row>
    <row r="56" spans="2:13">
      <c r="B56" s="198"/>
      <c r="I56" s="144"/>
      <c r="L56"/>
      <c r="M56" s="178"/>
    </row>
    <row r="57" spans="2:13">
      <c r="I57" s="144"/>
      <c r="L57"/>
      <c r="M57" s="178"/>
    </row>
    <row r="58" spans="2:13">
      <c r="I58" s="144"/>
      <c r="L58"/>
      <c r="M58" s="178"/>
    </row>
    <row r="59" spans="2:13">
      <c r="I59" s="144"/>
      <c r="L59"/>
      <c r="M59" s="178"/>
    </row>
    <row r="60" spans="2:13">
      <c r="I60" s="144"/>
      <c r="L60"/>
      <c r="M60" s="178"/>
    </row>
    <row r="61" spans="2:13">
      <c r="I61" s="144"/>
      <c r="L61"/>
      <c r="M61" s="178"/>
    </row>
    <row r="62" spans="2:13">
      <c r="I62" s="144"/>
      <c r="L62"/>
      <c r="M62" s="178"/>
    </row>
    <row r="63" spans="2:13">
      <c r="I63" s="144"/>
      <c r="L63"/>
      <c r="M63" s="178"/>
    </row>
    <row r="64" spans="2:13">
      <c r="I64" s="144"/>
      <c r="L64"/>
      <c r="M64" s="178"/>
    </row>
    <row r="65" spans="9:13">
      <c r="I65" s="144"/>
      <c r="L65"/>
      <c r="M65" s="178"/>
    </row>
    <row r="66" spans="9:13">
      <c r="I66" s="144"/>
      <c r="L66"/>
      <c r="M66" s="178"/>
    </row>
    <row r="67" spans="9:13">
      <c r="I67" s="144"/>
      <c r="L67"/>
      <c r="M67" s="178"/>
    </row>
    <row r="68" spans="9:13">
      <c r="I68" s="144"/>
      <c r="L68"/>
      <c r="M68" s="178"/>
    </row>
    <row r="69" spans="9:13">
      <c r="I69" s="144"/>
      <c r="L69"/>
      <c r="M69" s="178"/>
    </row>
    <row r="70" spans="9:13">
      <c r="I70" s="144"/>
      <c r="L70"/>
      <c r="M70" s="178"/>
    </row>
    <row r="71" spans="9:13">
      <c r="I71" s="144"/>
      <c r="L71"/>
      <c r="M71" s="178"/>
    </row>
    <row r="72" spans="9:13">
      <c r="I72" s="144"/>
      <c r="L72"/>
      <c r="M72" s="178"/>
    </row>
    <row r="73" spans="9:13">
      <c r="I73" s="144"/>
      <c r="L73"/>
      <c r="M73" s="178"/>
    </row>
    <row r="74" spans="9:13">
      <c r="I74" s="144"/>
      <c r="L74"/>
      <c r="M74" s="178"/>
    </row>
    <row r="75" spans="9:13">
      <c r="I75" s="144"/>
      <c r="L75"/>
      <c r="M75" s="178"/>
    </row>
    <row r="76" spans="9:13">
      <c r="I76" s="144"/>
      <c r="L76"/>
      <c r="M76" s="178"/>
    </row>
    <row r="77" spans="9:13">
      <c r="I77" s="144"/>
      <c r="L77"/>
      <c r="M77" s="178"/>
    </row>
    <row r="78" spans="9:13">
      <c r="I78" s="144"/>
      <c r="L78"/>
      <c r="M78" s="178"/>
    </row>
    <row r="79" spans="9:13">
      <c r="I79" s="144"/>
      <c r="L79"/>
      <c r="M79" s="178"/>
    </row>
    <row r="80" spans="9:13">
      <c r="I80" s="144"/>
      <c r="L80"/>
      <c r="M80" s="178"/>
    </row>
    <row r="81" spans="9:13">
      <c r="I81" s="144"/>
      <c r="L81"/>
      <c r="M81" s="178"/>
    </row>
    <row r="82" spans="9:13">
      <c r="I82" s="144"/>
      <c r="L82"/>
      <c r="M82" s="178"/>
    </row>
    <row r="83" spans="9:13">
      <c r="I83" s="144"/>
      <c r="L83"/>
      <c r="M83" s="178"/>
    </row>
    <row r="84" spans="9:13">
      <c r="I84" s="144"/>
      <c r="L84"/>
      <c r="M84" s="178"/>
    </row>
    <row r="85" spans="9:13">
      <c r="I85" s="144"/>
      <c r="L85"/>
      <c r="M85" s="178"/>
    </row>
    <row r="86" spans="9:13">
      <c r="I86" s="144"/>
      <c r="L86"/>
      <c r="M86" s="178"/>
    </row>
    <row r="87" spans="9:13">
      <c r="I87" s="144"/>
      <c r="L87"/>
      <c r="M87" s="178"/>
    </row>
    <row r="88" spans="9:13">
      <c r="I88" s="144"/>
      <c r="L88"/>
      <c r="M88" s="178"/>
    </row>
    <row r="89" spans="9:13">
      <c r="I89" s="144"/>
      <c r="L89"/>
      <c r="M89" s="178"/>
    </row>
    <row r="90" spans="9:13">
      <c r="I90" s="144"/>
      <c r="L90"/>
      <c r="M90" s="178"/>
    </row>
    <row r="91" spans="9:13">
      <c r="I91" s="144"/>
      <c r="L91"/>
      <c r="M91" s="178"/>
    </row>
    <row r="92" spans="9:13">
      <c r="I92" s="144"/>
      <c r="L92"/>
      <c r="M92" s="178"/>
    </row>
    <row r="93" spans="9:13">
      <c r="I93" s="144"/>
      <c r="L93"/>
      <c r="M93" s="178"/>
    </row>
    <row r="94" spans="9:13">
      <c r="I94" s="144"/>
      <c r="L94"/>
      <c r="M94" s="178"/>
    </row>
    <row r="95" spans="9:13">
      <c r="I95" s="144"/>
      <c r="L95"/>
      <c r="M95" s="178"/>
    </row>
    <row r="96" spans="9:13">
      <c r="I96" s="144"/>
      <c r="L96"/>
      <c r="M96" s="178"/>
    </row>
    <row r="97" spans="9:13">
      <c r="I97" s="144"/>
      <c r="L97"/>
      <c r="M97" s="178"/>
    </row>
    <row r="98" spans="9:13">
      <c r="I98" s="144"/>
      <c r="L98"/>
      <c r="M98" s="178"/>
    </row>
    <row r="99" spans="9:13">
      <c r="I99" s="144"/>
      <c r="L99"/>
      <c r="M99" s="178"/>
    </row>
    <row r="100" spans="9:13">
      <c r="I100" s="144"/>
      <c r="L100"/>
      <c r="M100" s="178"/>
    </row>
    <row r="101" spans="9:13">
      <c r="I101" s="144"/>
      <c r="L101"/>
      <c r="M101" s="178"/>
    </row>
    <row r="102" spans="9:13">
      <c r="I102" s="144"/>
      <c r="L102"/>
      <c r="M102" s="178"/>
    </row>
    <row r="103" spans="9:13">
      <c r="I103" s="144"/>
      <c r="L103"/>
      <c r="M103" s="178"/>
    </row>
    <row r="104" spans="9:13">
      <c r="I104" s="144"/>
      <c r="L104"/>
      <c r="M104" s="178"/>
    </row>
    <row r="105" spans="9:13">
      <c r="I105" s="144"/>
      <c r="L105"/>
      <c r="M105" s="178"/>
    </row>
    <row r="106" spans="9:13">
      <c r="I106" s="144"/>
      <c r="L106"/>
      <c r="M106" s="178"/>
    </row>
    <row r="107" spans="9:13">
      <c r="I107" s="144"/>
      <c r="L107"/>
      <c r="M107" s="178"/>
    </row>
    <row r="108" spans="9:13">
      <c r="I108" s="144"/>
      <c r="L108"/>
      <c r="M108" s="178"/>
    </row>
    <row r="109" spans="9:13">
      <c r="I109" s="144"/>
      <c r="L109"/>
      <c r="M109" s="178"/>
    </row>
    <row r="110" spans="9:13">
      <c r="I110" s="144"/>
      <c r="L110"/>
      <c r="M110" s="178"/>
    </row>
    <row r="111" spans="9:13">
      <c r="I111" s="144"/>
      <c r="L111"/>
      <c r="M111" s="178"/>
    </row>
    <row r="112" spans="9:13">
      <c r="I112" s="144"/>
      <c r="L112"/>
      <c r="M112" s="178"/>
    </row>
    <row r="113" spans="9:13">
      <c r="I113" s="144"/>
      <c r="L113"/>
      <c r="M113" s="178"/>
    </row>
    <row r="114" spans="9:13">
      <c r="I114" s="144"/>
      <c r="L114"/>
      <c r="M114" s="178"/>
    </row>
    <row r="115" spans="9:13">
      <c r="I115" s="144"/>
      <c r="L115"/>
      <c r="M115" s="178"/>
    </row>
    <row r="116" spans="9:13">
      <c r="I116" s="144"/>
      <c r="L116"/>
      <c r="M116" s="178"/>
    </row>
    <row r="117" spans="9:13">
      <c r="I117" s="144"/>
      <c r="L117"/>
      <c r="M117" s="178"/>
    </row>
    <row r="118" spans="9:13">
      <c r="I118" s="144"/>
      <c r="L118"/>
      <c r="M118" s="178"/>
    </row>
    <row r="119" spans="9:13">
      <c r="I119" s="144"/>
      <c r="L119"/>
      <c r="M119" s="178"/>
    </row>
    <row r="120" spans="9:13">
      <c r="I120" s="144"/>
      <c r="L120"/>
      <c r="M120" s="178"/>
    </row>
    <row r="121" spans="9:13">
      <c r="I121" s="144"/>
      <c r="L121"/>
      <c r="M121" s="178"/>
    </row>
    <row r="122" spans="9:13">
      <c r="I122" s="144"/>
      <c r="L122"/>
      <c r="M122" s="178"/>
    </row>
    <row r="123" spans="9:13">
      <c r="I123" s="144"/>
      <c r="L123"/>
      <c r="M123" s="178"/>
    </row>
    <row r="124" spans="9:13">
      <c r="I124" s="144"/>
      <c r="L124"/>
      <c r="M124" s="178"/>
    </row>
    <row r="125" spans="9:13">
      <c r="I125" s="144"/>
      <c r="L125"/>
      <c r="M125" s="178"/>
    </row>
    <row r="126" spans="9:13">
      <c r="I126" s="144"/>
      <c r="L126"/>
      <c r="M126" s="178"/>
    </row>
    <row r="127" spans="9:13">
      <c r="I127" s="144"/>
      <c r="L127"/>
      <c r="M127" s="178"/>
    </row>
    <row r="128" spans="9:13">
      <c r="I128" s="144"/>
      <c r="L128"/>
      <c r="M128" s="178"/>
    </row>
    <row r="129" spans="9:13">
      <c r="I129" s="144"/>
      <c r="L129"/>
      <c r="M129" s="178"/>
    </row>
    <row r="130" spans="9:13">
      <c r="I130" s="144"/>
      <c r="L130"/>
      <c r="M130" s="178"/>
    </row>
    <row r="131" spans="9:13">
      <c r="I131" s="144"/>
      <c r="L131"/>
      <c r="M131" s="178"/>
    </row>
    <row r="132" spans="9:13">
      <c r="I132" s="144"/>
      <c r="L132"/>
      <c r="M132" s="178"/>
    </row>
    <row r="133" spans="9:13">
      <c r="I133" s="144"/>
      <c r="L133"/>
      <c r="M133" s="178"/>
    </row>
    <row r="134" spans="9:13">
      <c r="I134" s="144"/>
      <c r="L134"/>
      <c r="M134" s="178"/>
    </row>
    <row r="135" spans="9:13">
      <c r="I135" s="144"/>
      <c r="L135"/>
      <c r="M135" s="178"/>
    </row>
    <row r="136" spans="9:13">
      <c r="I136" s="144"/>
      <c r="L136"/>
      <c r="M136" s="178"/>
    </row>
    <row r="137" spans="9:13">
      <c r="I137" s="144"/>
      <c r="L137"/>
      <c r="M137" s="178"/>
    </row>
    <row r="138" spans="9:13">
      <c r="I138" s="144"/>
      <c r="L138"/>
      <c r="M138" s="178"/>
    </row>
    <row r="139" spans="9:13">
      <c r="I139" s="144"/>
      <c r="L139"/>
      <c r="M139" s="178"/>
    </row>
    <row r="140" spans="9:13">
      <c r="I140" s="144"/>
      <c r="L140"/>
      <c r="M140" s="178"/>
    </row>
    <row r="141" spans="9:13">
      <c r="I141" s="144"/>
      <c r="L141"/>
      <c r="M141" s="178"/>
    </row>
    <row r="142" spans="9:13">
      <c r="I142" s="144"/>
      <c r="L142"/>
      <c r="M142" s="178"/>
    </row>
    <row r="143" spans="9:13">
      <c r="I143" s="144"/>
      <c r="L143"/>
      <c r="M143" s="178"/>
    </row>
    <row r="144" spans="9:13">
      <c r="I144" s="144"/>
      <c r="L144"/>
      <c r="M144" s="178"/>
    </row>
    <row r="145" spans="9:13">
      <c r="I145" s="144"/>
      <c r="L145"/>
      <c r="M145" s="178"/>
    </row>
    <row r="146" spans="9:13">
      <c r="I146" s="144"/>
      <c r="L146"/>
      <c r="M146" s="178"/>
    </row>
    <row r="147" spans="9:13">
      <c r="I147" s="144"/>
      <c r="L147"/>
      <c r="M147" s="178"/>
    </row>
    <row r="148" spans="9:13">
      <c r="I148" s="144"/>
      <c r="L148"/>
      <c r="M148" s="178"/>
    </row>
    <row r="149" spans="9:13">
      <c r="I149" s="144"/>
      <c r="L149"/>
      <c r="M149" s="178"/>
    </row>
    <row r="150" spans="9:13">
      <c r="I150" s="144"/>
      <c r="L150"/>
      <c r="M150" s="178"/>
    </row>
    <row r="151" spans="9:13">
      <c r="I151" s="144"/>
      <c r="L151"/>
      <c r="M151" s="178"/>
    </row>
    <row r="152" spans="9:13">
      <c r="I152" s="144"/>
      <c r="L152"/>
      <c r="M152" s="178"/>
    </row>
    <row r="153" spans="9:13">
      <c r="I153" s="144"/>
      <c r="L153"/>
      <c r="M153" s="178"/>
    </row>
    <row r="154" spans="9:13">
      <c r="I154" s="144"/>
      <c r="L154"/>
      <c r="M154" s="178"/>
    </row>
    <row r="155" spans="9:13">
      <c r="I155" s="144"/>
      <c r="L155"/>
      <c r="M155" s="178"/>
    </row>
    <row r="156" spans="9:13">
      <c r="I156" s="144"/>
      <c r="L156"/>
      <c r="M156" s="178"/>
    </row>
    <row r="157" spans="9:13">
      <c r="I157" s="144"/>
      <c r="L157"/>
      <c r="M157" s="178"/>
    </row>
    <row r="158" spans="9:13">
      <c r="I158" s="144"/>
      <c r="L158"/>
      <c r="M158" s="178"/>
    </row>
    <row r="159" spans="9:13">
      <c r="I159" s="144"/>
      <c r="L159"/>
      <c r="M159" s="178"/>
    </row>
    <row r="160" spans="9:13">
      <c r="I160" s="144"/>
      <c r="L160"/>
      <c r="M160" s="178"/>
    </row>
    <row r="161" spans="9:13">
      <c r="I161" s="144"/>
      <c r="L161"/>
      <c r="M161" s="178"/>
    </row>
    <row r="162" spans="9:13">
      <c r="I162" s="144"/>
      <c r="L162"/>
      <c r="M162" s="178"/>
    </row>
    <row r="163" spans="9:13">
      <c r="I163" s="144"/>
      <c r="L163"/>
      <c r="M163" s="178"/>
    </row>
    <row r="164" spans="9:13">
      <c r="I164" s="144"/>
      <c r="L164"/>
      <c r="M164" s="178"/>
    </row>
    <row r="165" spans="9:13">
      <c r="I165" s="144"/>
      <c r="L165"/>
      <c r="M165" s="178"/>
    </row>
    <row r="166" spans="9:13">
      <c r="I166" s="144"/>
      <c r="L166"/>
      <c r="M166" s="178"/>
    </row>
    <row r="167" spans="9:13">
      <c r="I167" s="144"/>
      <c r="L167"/>
      <c r="M167" s="178"/>
    </row>
    <row r="168" spans="9:13">
      <c r="I168" s="144"/>
      <c r="L168"/>
      <c r="M168" s="178"/>
    </row>
    <row r="169" spans="9:13">
      <c r="I169" s="144"/>
      <c r="L169"/>
      <c r="M169" s="178"/>
    </row>
    <row r="170" spans="9:13">
      <c r="I170" s="144"/>
      <c r="L170"/>
      <c r="M170" s="178"/>
    </row>
    <row r="171" spans="9:13">
      <c r="I171" s="144"/>
      <c r="L171"/>
      <c r="M171" s="178"/>
    </row>
    <row r="172" spans="9:13">
      <c r="I172" s="144"/>
      <c r="L172"/>
      <c r="M172" s="178"/>
    </row>
    <row r="173" spans="9:13">
      <c r="I173" s="144"/>
      <c r="L173"/>
      <c r="M173" s="178"/>
    </row>
    <row r="174" spans="9:13">
      <c r="I174" s="144"/>
      <c r="L174"/>
      <c r="M174" s="178"/>
    </row>
    <row r="175" spans="9:13">
      <c r="I175" s="144"/>
      <c r="L175"/>
      <c r="M175" s="178"/>
    </row>
    <row r="176" spans="9:13">
      <c r="I176" s="144"/>
      <c r="L176"/>
      <c r="M176" s="178"/>
    </row>
    <row r="177" spans="9:13">
      <c r="I177" s="144"/>
      <c r="L177"/>
      <c r="M177" s="178"/>
    </row>
    <row r="178" spans="9:13">
      <c r="I178" s="144"/>
      <c r="L178"/>
      <c r="M178" s="178"/>
    </row>
    <row r="179" spans="9:13">
      <c r="I179" s="144"/>
      <c r="L179"/>
      <c r="M179" s="178"/>
    </row>
    <row r="180" spans="9:13">
      <c r="I180" s="144"/>
      <c r="L180"/>
      <c r="M180" s="178"/>
    </row>
    <row r="181" spans="9:13">
      <c r="I181" s="144"/>
      <c r="L181"/>
      <c r="M181" s="178"/>
    </row>
    <row r="182" spans="9:13">
      <c r="I182" s="144"/>
      <c r="L182"/>
      <c r="M182" s="178"/>
    </row>
    <row r="183" spans="9:13">
      <c r="I183" s="144"/>
      <c r="L183"/>
      <c r="M183" s="178"/>
    </row>
    <row r="184" spans="9:13">
      <c r="I184" s="144"/>
      <c r="L184"/>
      <c r="M184" s="178"/>
    </row>
    <row r="185" spans="9:13">
      <c r="I185" s="182"/>
      <c r="L185"/>
      <c r="M185" s="178"/>
    </row>
    <row r="186" spans="9:13">
      <c r="L186"/>
    </row>
    <row r="187" spans="9:13">
      <c r="L187"/>
    </row>
    <row r="188" spans="9:13">
      <c r="L188"/>
    </row>
    <row r="189" spans="9:13">
      <c r="L189"/>
    </row>
    <row r="190" spans="9:13">
      <c r="L190"/>
    </row>
    <row r="191" spans="9:13">
      <c r="L191"/>
    </row>
    <row r="192" spans="9:13">
      <c r="L192"/>
    </row>
    <row r="193" spans="12:12">
      <c r="L193"/>
    </row>
    <row r="194" spans="12:12">
      <c r="L194"/>
    </row>
    <row r="195" spans="12:12">
      <c r="L195"/>
    </row>
    <row r="196" spans="12:12">
      <c r="L196"/>
    </row>
  </sheetData>
  <conditionalFormatting pivot="1" sqref="B7:B8 B10:B13">
    <cfRule type="dataBar" priority="50">
      <dataBar>
        <cfvo type="min"/>
        <cfvo type="max"/>
        <color rgb="FF638EC6"/>
      </dataBar>
    </cfRule>
  </conditionalFormatting>
  <conditionalFormatting pivot="1">
    <cfRule type="dataBar" priority="49">
      <dataBar>
        <cfvo type="min"/>
        <cfvo type="max"/>
        <color rgb="FF638EC6"/>
      </dataBar>
    </cfRule>
  </conditionalFormatting>
  <conditionalFormatting pivot="1">
    <cfRule type="dataBar" priority="46">
      <dataBar>
        <cfvo type="min"/>
        <cfvo type="max"/>
        <color rgb="FF638EC6"/>
      </dataBar>
    </cfRule>
  </conditionalFormatting>
  <conditionalFormatting pivot="1" sqref="B28">
    <cfRule type="dataBar" priority="44">
      <dataBar>
        <cfvo type="min"/>
        <cfvo type="max"/>
        <color rgb="FF638EC6"/>
      </dataBar>
    </cfRule>
  </conditionalFormatting>
  <conditionalFormatting pivot="1" sqref="B28">
    <cfRule type="dataBar" priority="4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{AB4A0F1A-562F-4A95-AD61-764A6982885F}</x14:id>
        </ext>
      </extLst>
    </cfRule>
  </conditionalFormatting>
  <conditionalFormatting pivot="1">
    <cfRule type="dataBar" priority="34">
      <dataBar>
        <cfvo type="min"/>
        <cfvo type="max"/>
        <color rgb="FF638EC6"/>
      </dataBar>
    </cfRule>
  </conditionalFormatting>
  <conditionalFormatting pivot="1" sqref="B44:B46">
    <cfRule type="dataBar" priority="32">
      <dataBar>
        <cfvo type="min"/>
        <cfvo type="max"/>
        <color rgb="FF638EC6"/>
      </dataBar>
    </cfRule>
  </conditionalFormatting>
  <conditionalFormatting pivot="1" sqref="B7:B13">
    <cfRule type="dataBar" priority="31">
      <dataBar>
        <cfvo type="min"/>
        <cfvo type="max"/>
        <color rgb="FF638EC6"/>
      </dataBar>
    </cfRule>
  </conditionalFormatting>
  <conditionalFormatting pivot="1" sqref="B7:B14">
    <cfRule type="dataBar" priority="27">
      <dataBar>
        <cfvo type="min"/>
        <cfvo type="max"/>
        <color rgb="FF638EC6"/>
      </dataBar>
    </cfRule>
  </conditionalFormatting>
  <conditionalFormatting pivot="1" sqref="K9:K10 K12 K14:K16 K18:K20 K22 K25:K31 K33:K35 K37:K41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{9EA848CE-5003-4A3D-9843-3074062A7B40}</x14:id>
        </ext>
      </extLst>
    </cfRule>
  </conditionalFormatting>
  <conditionalFormatting pivot="1" sqref="K9:K10 K12 K14:K16 K18:K20 K22 K25:K31 K33:K35 K37:K41">
    <cfRule type="dataBar" priority="9">
      <dataBar>
        <cfvo type="min"/>
        <cfvo type="max"/>
        <color rgb="FF638EC6"/>
      </dataBar>
    </cfRule>
  </conditionalFormatting>
  <conditionalFormatting pivot="1" sqref="K9:K10 K12 K14:K16 K18:K20 K22 K25:K31 K33:K35 K37:K41">
    <cfRule type="dataBar" priority="8">
      <dataBar>
        <cfvo type="min"/>
        <cfvo type="max"/>
        <color rgb="FF638EC6"/>
      </dataBar>
    </cfRule>
  </conditionalFormatting>
  <conditionalFormatting pivot="1" sqref="K9:K10 K12 K14:K16 K18:K22 K25:K31 K33:K35 K37:K41">
    <cfRule type="dataBar" priority="5">
      <dataBar>
        <cfvo type="min"/>
        <cfvo type="max"/>
        <color rgb="FF638EC6"/>
      </dataBar>
    </cfRule>
  </conditionalFormatting>
  <conditionalFormatting pivot="1" sqref="K10 K15 K18 K20 K24:K26 K38">
    <cfRule type="dataBar" priority="6">
      <dataBar>
        <cfvo type="min"/>
        <cfvo type="max"/>
        <color rgb="FF638EC6"/>
      </dataBar>
    </cfRule>
  </conditionalFormatting>
  <conditionalFormatting pivot="1" sqref="K9:K10 K15:K18 K20 K23:K26 K30:K31 K34 K37:K38">
    <cfRule type="dataBar" priority="4">
      <dataBar>
        <cfvo type="min"/>
        <cfvo type="max"/>
        <color rgb="FF638EC6"/>
      </dataBar>
    </cfRule>
  </conditionalFormatting>
  <conditionalFormatting pivot="1" sqref="K9:K11 K15:K21 K23:K27 K30:K32 K34:K35 K37:K38 K40:K41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{162BCA58-476E-440A-9E40-CE2C5009E190}</x14:id>
        </ext>
      </extLst>
    </cfRule>
  </conditionalFormatting>
  <conditionalFormatting pivot="1" sqref="K9:K32 K34:K35 K37:K38 K40:K41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{3C6F3C78-B242-4A18-9220-EAA3A3012FAE}</x14:id>
        </ext>
      </extLst>
    </cfRule>
  </conditionalFormatting>
  <conditionalFormatting pivot="1" sqref="K9:K41">
    <cfRule type="dataBar" priority="1">
      <dataBar>
        <cfvo type="min"/>
        <cfvo type="max"/>
        <color rgb="FF638EC6"/>
      </dataBar>
    </cfRule>
  </conditionalFormatting>
  <printOptions horizontalCentered="1" verticalCentered="1"/>
  <pageMargins left="0.23622047244094491" right="0.23622047244094491" top="0.74803149606299213" bottom="0.74803149606299213" header="0.31496062992125984" footer="0.31496062992125984"/>
  <pageSetup paperSize="8" scale="55" orientation="portrait" r:id="rId5"/>
  <drawing r:id="rId6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AB4A0F1A-562F-4A95-AD61-764A6982885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B28</xm:sqref>
        </x14:conditionalFormatting>
        <x14:conditionalFormatting xmlns:xm="http://schemas.microsoft.com/office/excel/2006/main" pivot="1">
          <x14:cfRule type="dataBar" id="{9EA848CE-5003-4A3D-9843-3074062A7B4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K9:K10 K12 K14:K16 K18:K20 K22 K25:K31 K33:K35 K37:K41</xm:sqref>
        </x14:conditionalFormatting>
        <x14:conditionalFormatting xmlns:xm="http://schemas.microsoft.com/office/excel/2006/main" pivot="1">
          <x14:cfRule type="dataBar" id="{162BCA58-476E-440A-9E40-CE2C5009E19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K9:K11 K15:K21 K23:K27 K30:K32 K34:K35 K37:K38 K40:K41</xm:sqref>
        </x14:conditionalFormatting>
        <x14:conditionalFormatting xmlns:xm="http://schemas.microsoft.com/office/excel/2006/main" pivot="1">
          <x14:cfRule type="dataBar" id="{3C6F3C78-B242-4A18-9220-EAA3A3012FA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K9:K32 K34:K35 K37:K38 K40:K41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38"/>
  <sheetViews>
    <sheetView topLeftCell="M1" workbookViewId="0">
      <selection activeCell="N7" sqref="N7"/>
    </sheetView>
  </sheetViews>
  <sheetFormatPr defaultRowHeight="14.4"/>
  <cols>
    <col min="1" max="1" width="15.33203125" customWidth="1"/>
    <col min="2" max="2" width="13.77734375" style="148" customWidth="1"/>
    <col min="3" max="3" width="14.44140625" customWidth="1"/>
    <col min="8" max="8" width="19.109375" customWidth="1"/>
    <col min="9" max="9" width="12" style="148" bestFit="1" customWidth="1"/>
    <col min="10" max="10" width="14.44140625" bestFit="1" customWidth="1"/>
    <col min="14" max="14" width="25.44140625" customWidth="1"/>
    <col min="15" max="15" width="16.109375" customWidth="1"/>
    <col min="16" max="16" width="12.6640625" customWidth="1"/>
    <col min="17" max="17" width="14.44140625" customWidth="1"/>
    <col min="18" max="19" width="12.88671875" customWidth="1"/>
    <col min="20" max="20" width="17" customWidth="1"/>
    <col min="21" max="21" width="16.109375" customWidth="1"/>
    <col min="22" max="22" width="14.44140625" customWidth="1"/>
    <col min="23" max="23" width="15.6640625" customWidth="1"/>
    <col min="24" max="30" width="9.6640625" bestFit="1" customWidth="1"/>
    <col min="31" max="36" width="8.6640625" customWidth="1"/>
    <col min="37" max="46" width="9.6640625" bestFit="1" customWidth="1"/>
    <col min="47" max="51" width="8.6640625" customWidth="1"/>
    <col min="52" max="65" width="9.6640625" bestFit="1" customWidth="1"/>
    <col min="66" max="70" width="8.6640625" customWidth="1"/>
    <col min="71" max="84" width="9.6640625" bestFit="1" customWidth="1"/>
    <col min="85" max="92" width="8.6640625" customWidth="1"/>
    <col min="93" max="110" width="9.6640625" bestFit="1" customWidth="1"/>
    <col min="111" max="113" width="8.6640625" customWidth="1"/>
    <col min="114" max="128" width="9.6640625" bestFit="1" customWidth="1"/>
    <col min="129" max="136" width="8.6640625" customWidth="1"/>
    <col min="137" max="147" width="9.6640625" bestFit="1" customWidth="1"/>
    <col min="148" max="148" width="7" customWidth="1"/>
    <col min="149" max="149" width="10.33203125" bestFit="1" customWidth="1"/>
  </cols>
  <sheetData>
    <row r="1" spans="1:22">
      <c r="A1" s="179" t="s">
        <v>326</v>
      </c>
      <c r="B1" s="205" t="s">
        <v>328</v>
      </c>
      <c r="H1" s="179" t="s">
        <v>326</v>
      </c>
      <c r="I1" s="205" t="s">
        <v>328</v>
      </c>
      <c r="N1" s="179" t="s">
        <v>1</v>
      </c>
      <c r="O1" s="205" t="s">
        <v>551</v>
      </c>
      <c r="T1" s="179" t="s">
        <v>1</v>
      </c>
      <c r="U1" s="205" t="s">
        <v>551</v>
      </c>
    </row>
    <row r="2" spans="1:22">
      <c r="N2" s="179" t="s">
        <v>324</v>
      </c>
      <c r="O2" s="205" t="s">
        <v>551</v>
      </c>
      <c r="T2" s="179" t="s">
        <v>324</v>
      </c>
      <c r="U2" s="182">
        <v>7</v>
      </c>
    </row>
    <row r="3" spans="1:22">
      <c r="B3" s="179" t="s">
        <v>322</v>
      </c>
      <c r="I3" s="179" t="s">
        <v>322</v>
      </c>
    </row>
    <row r="4" spans="1:22">
      <c r="A4" s="179" t="s">
        <v>550</v>
      </c>
      <c r="B4" s="205" t="s">
        <v>321</v>
      </c>
      <c r="C4" s="205" t="s">
        <v>323</v>
      </c>
      <c r="H4" s="179" t="s">
        <v>550</v>
      </c>
      <c r="I4" s="205" t="s">
        <v>321</v>
      </c>
      <c r="J4" s="205" t="s">
        <v>323</v>
      </c>
      <c r="O4" s="179" t="s">
        <v>322</v>
      </c>
      <c r="U4" s="179" t="s">
        <v>322</v>
      </c>
    </row>
    <row r="5" spans="1:22">
      <c r="A5" s="145">
        <v>2013</v>
      </c>
      <c r="B5" s="183">
        <v>323480440.90000004</v>
      </c>
      <c r="C5" s="178">
        <v>758.5</v>
      </c>
      <c r="H5" s="145">
        <v>2013</v>
      </c>
      <c r="I5" s="178">
        <v>323480440.90000021</v>
      </c>
      <c r="J5" s="178">
        <v>758.5</v>
      </c>
      <c r="N5" s="179" t="s">
        <v>550</v>
      </c>
      <c r="O5" s="205" t="s">
        <v>365</v>
      </c>
      <c r="P5" s="205" t="s">
        <v>321</v>
      </c>
      <c r="Q5" s="205" t="s">
        <v>323</v>
      </c>
      <c r="T5" s="179" t="s">
        <v>550</v>
      </c>
      <c r="U5" s="205" t="s">
        <v>321</v>
      </c>
      <c r="V5" s="205" t="s">
        <v>323</v>
      </c>
    </row>
    <row r="6" spans="1:22">
      <c r="A6" s="147">
        <v>1</v>
      </c>
      <c r="B6" s="183">
        <v>6870187.8400000008</v>
      </c>
      <c r="C6" s="178">
        <v>18</v>
      </c>
      <c r="H6" s="147">
        <v>1</v>
      </c>
      <c r="I6" s="178">
        <v>6870187.8399999999</v>
      </c>
      <c r="J6" s="178">
        <v>18</v>
      </c>
      <c r="N6" s="182" t="s">
        <v>328</v>
      </c>
      <c r="O6" s="183">
        <v>0</v>
      </c>
      <c r="P6" s="183">
        <v>19603932.910000004</v>
      </c>
      <c r="Q6" s="183">
        <v>46.5</v>
      </c>
      <c r="T6" s="182" t="s">
        <v>328</v>
      </c>
      <c r="U6" s="178">
        <v>19603932.91</v>
      </c>
      <c r="V6" s="178">
        <v>46.5</v>
      </c>
    </row>
    <row r="7" spans="1:22">
      <c r="A7" s="146" t="s">
        <v>24</v>
      </c>
      <c r="B7" s="183">
        <v>1973173.22</v>
      </c>
      <c r="C7" s="178">
        <v>4</v>
      </c>
      <c r="H7" s="146" t="s">
        <v>18</v>
      </c>
      <c r="I7" s="178">
        <v>382500</v>
      </c>
      <c r="J7" s="178">
        <v>2</v>
      </c>
      <c r="N7" s="144" t="s">
        <v>339</v>
      </c>
      <c r="O7" s="183">
        <v>0</v>
      </c>
      <c r="P7" s="183">
        <v>6076420.4800000004</v>
      </c>
      <c r="Q7" s="183">
        <v>15</v>
      </c>
      <c r="T7" s="144" t="s">
        <v>339</v>
      </c>
      <c r="U7" s="183">
        <v>6076420.4800000004</v>
      </c>
      <c r="V7" s="178">
        <v>15</v>
      </c>
    </row>
    <row r="8" spans="1:22">
      <c r="A8" s="146" t="s">
        <v>25</v>
      </c>
      <c r="B8" s="183">
        <v>1757418.01</v>
      </c>
      <c r="C8" s="178">
        <v>6</v>
      </c>
      <c r="H8" s="146" t="s">
        <v>17</v>
      </c>
      <c r="I8" s="178">
        <v>393127.01</v>
      </c>
      <c r="J8" s="178">
        <v>2</v>
      </c>
      <c r="N8" s="146" t="s">
        <v>47</v>
      </c>
      <c r="O8" s="183">
        <v>0</v>
      </c>
      <c r="P8" s="183">
        <v>1449100</v>
      </c>
      <c r="Q8" s="183">
        <v>2</v>
      </c>
      <c r="T8" s="146" t="s">
        <v>25</v>
      </c>
      <c r="U8" s="183">
        <v>2120483</v>
      </c>
      <c r="V8" s="178">
        <v>4</v>
      </c>
    </row>
    <row r="9" spans="1:22">
      <c r="A9" s="146" t="s">
        <v>26</v>
      </c>
      <c r="B9" s="183">
        <v>626500</v>
      </c>
      <c r="C9" s="178">
        <v>2</v>
      </c>
      <c r="H9" s="146" t="s">
        <v>287</v>
      </c>
      <c r="I9" s="178">
        <v>788790.99</v>
      </c>
      <c r="J9" s="178">
        <v>1</v>
      </c>
      <c r="N9" s="146" t="s">
        <v>367</v>
      </c>
      <c r="O9" s="183">
        <v>0</v>
      </c>
      <c r="P9" s="183">
        <v>726639.25</v>
      </c>
      <c r="Q9" s="183">
        <v>1</v>
      </c>
      <c r="T9" s="146" t="s">
        <v>27</v>
      </c>
      <c r="U9" s="183">
        <v>1994456.56</v>
      </c>
      <c r="V9" s="178">
        <v>5</v>
      </c>
    </row>
    <row r="10" spans="1:22">
      <c r="A10" s="146" t="s">
        <v>32</v>
      </c>
      <c r="B10" s="183">
        <v>258320</v>
      </c>
      <c r="C10" s="178">
        <v>1</v>
      </c>
      <c r="H10" s="146" t="s">
        <v>37</v>
      </c>
      <c r="I10" s="178">
        <v>258320</v>
      </c>
      <c r="J10" s="178">
        <v>1</v>
      </c>
      <c r="N10" s="146" t="s">
        <v>194</v>
      </c>
      <c r="O10" s="183">
        <v>0</v>
      </c>
      <c r="P10" s="183">
        <v>543493</v>
      </c>
      <c r="Q10" s="183">
        <v>1</v>
      </c>
      <c r="T10" s="146" t="s">
        <v>23</v>
      </c>
      <c r="U10" s="183">
        <v>784712</v>
      </c>
      <c r="V10" s="178">
        <v>2.5</v>
      </c>
    </row>
    <row r="11" spans="1:22">
      <c r="A11" s="146" t="s">
        <v>23</v>
      </c>
      <c r="B11" s="183">
        <v>1518000.12</v>
      </c>
      <c r="C11" s="178">
        <v>2</v>
      </c>
      <c r="H11" s="146" t="s">
        <v>308</v>
      </c>
      <c r="I11" s="178">
        <v>374300</v>
      </c>
      <c r="J11" s="178">
        <v>1</v>
      </c>
      <c r="N11" s="146" t="s">
        <v>369</v>
      </c>
      <c r="O11" s="183">
        <v>0</v>
      </c>
      <c r="P11" s="183">
        <v>485000</v>
      </c>
      <c r="Q11" s="183">
        <v>1</v>
      </c>
      <c r="T11" s="146" t="s">
        <v>24</v>
      </c>
      <c r="U11" s="183">
        <v>530010.91999999993</v>
      </c>
      <c r="V11" s="178">
        <v>1.5</v>
      </c>
    </row>
    <row r="12" spans="1:22">
      <c r="A12" s="146" t="s">
        <v>27</v>
      </c>
      <c r="B12" s="183">
        <v>736776.49</v>
      </c>
      <c r="C12" s="178">
        <v>3</v>
      </c>
      <c r="H12" s="146" t="s">
        <v>39</v>
      </c>
      <c r="I12" s="178">
        <v>312776.49</v>
      </c>
      <c r="J12" s="178">
        <v>1</v>
      </c>
      <c r="N12" s="146" t="s">
        <v>19</v>
      </c>
      <c r="O12" s="183">
        <v>0</v>
      </c>
      <c r="P12" s="183">
        <v>464324.31</v>
      </c>
      <c r="Q12" s="183">
        <v>2</v>
      </c>
      <c r="T12" s="146" t="s">
        <v>26</v>
      </c>
      <c r="U12" s="183">
        <v>371619.29</v>
      </c>
      <c r="V12" s="178">
        <v>1</v>
      </c>
    </row>
    <row r="13" spans="1:22">
      <c r="A13" s="147">
        <v>2</v>
      </c>
      <c r="B13" s="183">
        <v>10826286.220000001</v>
      </c>
      <c r="C13" s="178">
        <v>23</v>
      </c>
      <c r="H13" s="146" t="s">
        <v>296</v>
      </c>
      <c r="I13" s="178">
        <v>612000</v>
      </c>
      <c r="J13" s="178">
        <v>1</v>
      </c>
      <c r="N13" s="146" t="s">
        <v>198</v>
      </c>
      <c r="O13" s="183">
        <v>0</v>
      </c>
      <c r="P13" s="183">
        <v>434712</v>
      </c>
      <c r="Q13" s="183">
        <v>1</v>
      </c>
      <c r="T13" s="146" t="s">
        <v>79</v>
      </c>
      <c r="U13" s="183">
        <v>275138.71000000002</v>
      </c>
      <c r="V13" s="178">
        <v>1</v>
      </c>
    </row>
    <row r="14" spans="1:22">
      <c r="A14" s="146" t="s">
        <v>24</v>
      </c>
      <c r="B14" s="183">
        <v>722256.48</v>
      </c>
      <c r="C14" s="178">
        <v>2</v>
      </c>
      <c r="H14" s="146" t="s">
        <v>21</v>
      </c>
      <c r="I14" s="178">
        <v>453000.06</v>
      </c>
      <c r="J14" s="178">
        <v>0.5</v>
      </c>
      <c r="N14" s="146" t="s">
        <v>257</v>
      </c>
      <c r="O14" s="183">
        <v>0</v>
      </c>
      <c r="P14" s="183">
        <v>400010.92</v>
      </c>
      <c r="Q14" s="183">
        <v>1</v>
      </c>
      <c r="T14" s="144" t="s">
        <v>340</v>
      </c>
      <c r="U14" s="183">
        <v>13527512.43</v>
      </c>
      <c r="V14" s="178">
        <v>31.5</v>
      </c>
    </row>
    <row r="15" spans="1:22">
      <c r="A15" s="146" t="s">
        <v>25</v>
      </c>
      <c r="B15" s="183">
        <v>1831631.1</v>
      </c>
      <c r="C15" s="178">
        <v>4</v>
      </c>
      <c r="H15" s="146" t="s">
        <v>36</v>
      </c>
      <c r="I15" s="178">
        <v>641050</v>
      </c>
      <c r="J15" s="178">
        <v>1</v>
      </c>
      <c r="N15" s="146" t="s">
        <v>147</v>
      </c>
      <c r="O15" s="183">
        <v>0</v>
      </c>
      <c r="P15" s="183">
        <v>371619.29</v>
      </c>
      <c r="Q15" s="183">
        <v>1</v>
      </c>
      <c r="T15" s="146" t="s">
        <v>25</v>
      </c>
      <c r="U15" s="183">
        <v>4439764.08</v>
      </c>
      <c r="V15" s="178">
        <v>10.5</v>
      </c>
    </row>
    <row r="16" spans="1:22">
      <c r="A16" s="146" t="s">
        <v>26</v>
      </c>
      <c r="B16" s="183">
        <v>2190000</v>
      </c>
      <c r="C16" s="178">
        <v>1</v>
      </c>
      <c r="H16" s="146" t="s">
        <v>31</v>
      </c>
      <c r="I16" s="178">
        <v>193000.01</v>
      </c>
      <c r="J16" s="178">
        <v>1</v>
      </c>
      <c r="N16" s="146" t="s">
        <v>197</v>
      </c>
      <c r="O16" s="183">
        <v>0</v>
      </c>
      <c r="P16" s="183">
        <v>275138.71000000002</v>
      </c>
      <c r="Q16" s="183">
        <v>1</v>
      </c>
      <c r="T16" s="146" t="s">
        <v>26</v>
      </c>
      <c r="U16" s="183">
        <v>2531529.5300000003</v>
      </c>
      <c r="V16" s="178">
        <v>5.5</v>
      </c>
    </row>
    <row r="17" spans="1:22">
      <c r="A17" s="146" t="s">
        <v>32</v>
      </c>
      <c r="B17" s="183">
        <v>3580031</v>
      </c>
      <c r="C17" s="178">
        <v>9</v>
      </c>
      <c r="H17" s="146" t="s">
        <v>19</v>
      </c>
      <c r="I17" s="178">
        <v>424000</v>
      </c>
      <c r="J17" s="178">
        <v>2</v>
      </c>
      <c r="N17" s="146" t="s">
        <v>331</v>
      </c>
      <c r="O17" s="183">
        <v>0</v>
      </c>
      <c r="P17" s="183">
        <v>225000</v>
      </c>
      <c r="Q17" s="183">
        <v>1</v>
      </c>
      <c r="T17" s="146" t="s">
        <v>24</v>
      </c>
      <c r="U17" s="183">
        <v>2150812.9900000002</v>
      </c>
      <c r="V17" s="178">
        <v>5</v>
      </c>
    </row>
    <row r="18" spans="1:22">
      <c r="A18" s="146" t="s">
        <v>23</v>
      </c>
      <c r="B18" s="183">
        <v>1155867.6400000001</v>
      </c>
      <c r="C18" s="178">
        <v>3</v>
      </c>
      <c r="H18" s="146" t="s">
        <v>16</v>
      </c>
      <c r="I18" s="178">
        <v>502123</v>
      </c>
      <c r="J18" s="178">
        <v>2</v>
      </c>
      <c r="N18" s="146" t="s">
        <v>18</v>
      </c>
      <c r="O18" s="183">
        <v>0</v>
      </c>
      <c r="P18" s="183">
        <v>186383</v>
      </c>
      <c r="Q18" s="183">
        <v>1</v>
      </c>
      <c r="T18" s="146" t="s">
        <v>61</v>
      </c>
      <c r="U18" s="183">
        <v>2066956.2</v>
      </c>
      <c r="V18" s="178">
        <v>5</v>
      </c>
    </row>
    <row r="19" spans="1:22">
      <c r="A19" s="146" t="s">
        <v>27</v>
      </c>
      <c r="B19" s="183">
        <v>1346500</v>
      </c>
      <c r="C19" s="178">
        <v>4</v>
      </c>
      <c r="H19" s="146" t="s">
        <v>22</v>
      </c>
      <c r="I19" s="178">
        <v>453000.06</v>
      </c>
      <c r="J19" s="178">
        <v>0.5</v>
      </c>
      <c r="N19" s="146" t="s">
        <v>237</v>
      </c>
      <c r="O19" s="183">
        <v>0</v>
      </c>
      <c r="P19" s="183">
        <v>130000</v>
      </c>
      <c r="Q19" s="183">
        <v>0.5</v>
      </c>
      <c r="T19" s="146" t="s">
        <v>23</v>
      </c>
      <c r="U19" s="183">
        <v>1739292.63</v>
      </c>
      <c r="V19" s="178">
        <v>4</v>
      </c>
    </row>
    <row r="20" spans="1:22">
      <c r="A20" s="147">
        <v>3</v>
      </c>
      <c r="B20" s="183">
        <v>47891181.070000008</v>
      </c>
      <c r="C20" s="178">
        <v>102</v>
      </c>
      <c r="H20" s="146" t="s">
        <v>20</v>
      </c>
      <c r="I20" s="178">
        <v>252200</v>
      </c>
      <c r="J20" s="178">
        <v>1</v>
      </c>
      <c r="N20" s="146" t="s">
        <v>333</v>
      </c>
      <c r="O20" s="183">
        <v>0</v>
      </c>
      <c r="P20" s="183">
        <v>130000</v>
      </c>
      <c r="Q20" s="183">
        <v>0.5</v>
      </c>
      <c r="T20" s="146" t="s">
        <v>27</v>
      </c>
      <c r="U20" s="183">
        <v>599157</v>
      </c>
      <c r="V20" s="178">
        <v>1.5</v>
      </c>
    </row>
    <row r="21" spans="1:22">
      <c r="A21" s="146" t="s">
        <v>24</v>
      </c>
      <c r="B21" s="183">
        <v>12027174.370000001</v>
      </c>
      <c r="C21" s="178">
        <v>26</v>
      </c>
      <c r="H21" s="146" t="s">
        <v>34</v>
      </c>
      <c r="I21" s="178">
        <v>830000.22</v>
      </c>
      <c r="J21" s="178">
        <v>1</v>
      </c>
      <c r="N21" s="146" t="s">
        <v>334</v>
      </c>
      <c r="O21" s="183">
        <v>0</v>
      </c>
      <c r="P21" s="183">
        <v>130000</v>
      </c>
      <c r="Q21" s="183">
        <v>0.5</v>
      </c>
      <c r="T21" s="182" t="s">
        <v>327</v>
      </c>
      <c r="U21" s="183">
        <v>2665504.06</v>
      </c>
      <c r="V21" s="178">
        <v>5</v>
      </c>
    </row>
    <row r="22" spans="1:22">
      <c r="A22" s="146" t="s">
        <v>61</v>
      </c>
      <c r="B22" s="183">
        <v>834912.03</v>
      </c>
      <c r="C22" s="178">
        <v>2</v>
      </c>
      <c r="H22" s="147">
        <v>2</v>
      </c>
      <c r="I22" s="178">
        <v>10826286.220000001</v>
      </c>
      <c r="J22" s="178">
        <v>23</v>
      </c>
      <c r="N22" s="146" t="s">
        <v>296</v>
      </c>
      <c r="O22" s="183">
        <v>0</v>
      </c>
      <c r="P22" s="183">
        <v>125000</v>
      </c>
      <c r="Q22" s="183">
        <v>0.5</v>
      </c>
      <c r="T22" s="144" t="s">
        <v>327</v>
      </c>
      <c r="U22" s="183">
        <v>2665504.06</v>
      </c>
      <c r="V22" s="178">
        <v>5</v>
      </c>
    </row>
    <row r="23" spans="1:22">
      <c r="A23" s="146" t="s">
        <v>25</v>
      </c>
      <c r="B23" s="183">
        <v>5880452.2300000004</v>
      </c>
      <c r="C23" s="178">
        <v>13</v>
      </c>
      <c r="H23" s="146" t="s">
        <v>45</v>
      </c>
      <c r="I23" s="178">
        <v>30700</v>
      </c>
      <c r="J23" s="178">
        <v>1</v>
      </c>
      <c r="N23" s="144" t="s">
        <v>340</v>
      </c>
      <c r="O23" s="183">
        <v>0</v>
      </c>
      <c r="P23" s="183">
        <v>13527512.430000002</v>
      </c>
      <c r="Q23" s="183">
        <v>31.5</v>
      </c>
      <c r="T23" s="146" t="s">
        <v>362</v>
      </c>
      <c r="U23" s="183">
        <v>2665504.06</v>
      </c>
      <c r="V23" s="178">
        <v>5</v>
      </c>
    </row>
    <row r="24" spans="1:22">
      <c r="A24" s="146" t="s">
        <v>79</v>
      </c>
      <c r="B24" s="183">
        <v>899700</v>
      </c>
      <c r="C24" s="178">
        <v>1</v>
      </c>
      <c r="H24" s="146" t="s">
        <v>207</v>
      </c>
      <c r="I24" s="178">
        <v>890240</v>
      </c>
      <c r="J24" s="178">
        <v>2</v>
      </c>
      <c r="N24" s="146" t="s">
        <v>302</v>
      </c>
      <c r="O24" s="183">
        <v>0</v>
      </c>
      <c r="P24" s="183">
        <v>1663908.58</v>
      </c>
      <c r="Q24" s="183">
        <v>4.5</v>
      </c>
      <c r="T24" s="182" t="s">
        <v>329</v>
      </c>
      <c r="U24" s="183">
        <v>4242573.6100000003</v>
      </c>
      <c r="V24" s="178">
        <v>6.5</v>
      </c>
    </row>
    <row r="25" spans="1:22">
      <c r="A25" s="146" t="s">
        <v>26</v>
      </c>
      <c r="B25" s="183">
        <v>10297678.379999999</v>
      </c>
      <c r="C25" s="178">
        <v>19.25</v>
      </c>
      <c r="H25" s="146" t="s">
        <v>41</v>
      </c>
      <c r="I25" s="178">
        <v>124000</v>
      </c>
      <c r="J25" s="178">
        <v>0.5</v>
      </c>
      <c r="N25" s="146" t="s">
        <v>62</v>
      </c>
      <c r="O25" s="183">
        <v>0</v>
      </c>
      <c r="P25" s="183">
        <v>1346200</v>
      </c>
      <c r="Q25" s="183">
        <v>3</v>
      </c>
      <c r="T25" s="144" t="s">
        <v>339</v>
      </c>
      <c r="U25" s="183">
        <v>2984166.14</v>
      </c>
      <c r="V25" s="178">
        <v>4</v>
      </c>
    </row>
    <row r="26" spans="1:22">
      <c r="A26" s="146" t="s">
        <v>32</v>
      </c>
      <c r="B26" s="183">
        <v>4307656.6100000003</v>
      </c>
      <c r="C26" s="178">
        <v>8.5</v>
      </c>
      <c r="H26" s="146" t="s">
        <v>49</v>
      </c>
      <c r="I26" s="178">
        <v>330816.82</v>
      </c>
      <c r="J26" s="178">
        <v>0.5</v>
      </c>
      <c r="N26" s="146" t="s">
        <v>198</v>
      </c>
      <c r="O26" s="183">
        <v>0</v>
      </c>
      <c r="P26" s="183">
        <v>1307292.6299999999</v>
      </c>
      <c r="Q26" s="183">
        <v>3</v>
      </c>
      <c r="T26" s="146" t="s">
        <v>33</v>
      </c>
      <c r="U26" s="183">
        <v>2984166.14</v>
      </c>
      <c r="V26" s="178">
        <v>4</v>
      </c>
    </row>
    <row r="27" spans="1:22">
      <c r="A27" s="146" t="s">
        <v>23</v>
      </c>
      <c r="B27" s="183">
        <v>6734580.7400000002</v>
      </c>
      <c r="C27" s="178">
        <v>15.75</v>
      </c>
      <c r="H27" s="146" t="s">
        <v>37</v>
      </c>
      <c r="I27" s="178">
        <v>242000</v>
      </c>
      <c r="J27" s="178">
        <v>1</v>
      </c>
      <c r="N27" s="146" t="s">
        <v>282</v>
      </c>
      <c r="O27" s="183">
        <v>0</v>
      </c>
      <c r="P27" s="183">
        <v>1108128</v>
      </c>
      <c r="Q27" s="183">
        <v>2</v>
      </c>
      <c r="T27" s="144" t="s">
        <v>340</v>
      </c>
      <c r="U27" s="183">
        <v>1258407.47</v>
      </c>
      <c r="V27" s="178">
        <v>2.5</v>
      </c>
    </row>
    <row r="28" spans="1:22">
      <c r="A28" s="146" t="s">
        <v>27</v>
      </c>
      <c r="B28" s="183">
        <v>6909026.7100000018</v>
      </c>
      <c r="C28" s="178">
        <v>16.5</v>
      </c>
      <c r="H28" s="146" t="s">
        <v>47</v>
      </c>
      <c r="I28" s="178">
        <v>677040</v>
      </c>
      <c r="J28" s="178">
        <v>1</v>
      </c>
      <c r="N28" s="146" t="s">
        <v>311</v>
      </c>
      <c r="O28" s="183">
        <v>0</v>
      </c>
      <c r="P28" s="183">
        <v>884800</v>
      </c>
      <c r="Q28" s="183">
        <v>2</v>
      </c>
      <c r="T28" s="146" t="s">
        <v>33</v>
      </c>
      <c r="U28" s="183">
        <v>1258407.47</v>
      </c>
      <c r="V28" s="178">
        <v>2.5</v>
      </c>
    </row>
    <row r="29" spans="1:22">
      <c r="A29" s="147">
        <v>4</v>
      </c>
      <c r="B29" s="183">
        <v>13051567.27</v>
      </c>
      <c r="C29" s="178">
        <v>24.5</v>
      </c>
      <c r="H29" s="146" t="s">
        <v>40</v>
      </c>
      <c r="I29" s="178">
        <v>670000</v>
      </c>
      <c r="J29" s="178">
        <v>1</v>
      </c>
      <c r="N29" s="146" t="s">
        <v>196</v>
      </c>
      <c r="O29" s="183">
        <v>0</v>
      </c>
      <c r="P29" s="183">
        <v>823678.64</v>
      </c>
      <c r="Q29" s="183">
        <v>2</v>
      </c>
      <c r="T29" s="182" t="s">
        <v>548</v>
      </c>
      <c r="U29" s="183">
        <v>26512010.579999998</v>
      </c>
      <c r="V29" s="178">
        <v>58</v>
      </c>
    </row>
    <row r="30" spans="1:22">
      <c r="A30" s="146" t="s">
        <v>24</v>
      </c>
      <c r="B30" s="183">
        <v>1332837.8999999999</v>
      </c>
      <c r="C30" s="178">
        <v>4</v>
      </c>
      <c r="H30" s="146" t="s">
        <v>46</v>
      </c>
      <c r="I30" s="178">
        <v>595091.1</v>
      </c>
      <c r="J30" s="178">
        <v>1</v>
      </c>
      <c r="N30" s="146" t="s">
        <v>304</v>
      </c>
      <c r="O30" s="183">
        <v>0</v>
      </c>
      <c r="P30" s="183">
        <v>803000</v>
      </c>
      <c r="Q30" s="183">
        <v>1.5</v>
      </c>
    </row>
    <row r="31" spans="1:22">
      <c r="A31" s="146" t="s">
        <v>61</v>
      </c>
      <c r="B31" s="183">
        <v>1654840.77</v>
      </c>
      <c r="C31" s="178">
        <v>3</v>
      </c>
      <c r="H31" s="146" t="s">
        <v>31</v>
      </c>
      <c r="I31" s="178">
        <v>195000</v>
      </c>
      <c r="J31" s="178">
        <v>1</v>
      </c>
      <c r="N31" s="146" t="s">
        <v>291</v>
      </c>
      <c r="O31" s="183">
        <v>0</v>
      </c>
      <c r="P31" s="183">
        <v>790407.74</v>
      </c>
      <c r="Q31" s="183">
        <v>2</v>
      </c>
    </row>
    <row r="32" spans="1:22">
      <c r="A32" s="146" t="s">
        <v>25</v>
      </c>
      <c r="B32" s="183">
        <v>1592209.56</v>
      </c>
      <c r="C32" s="178">
        <v>4</v>
      </c>
      <c r="H32" s="146" t="s">
        <v>38</v>
      </c>
      <c r="I32" s="178">
        <v>825050.82000000007</v>
      </c>
      <c r="J32" s="178">
        <v>2.5</v>
      </c>
      <c r="N32" s="146" t="s">
        <v>366</v>
      </c>
      <c r="O32" s="183">
        <v>0</v>
      </c>
      <c r="P32" s="183">
        <v>716903.35</v>
      </c>
      <c r="Q32" s="183">
        <v>2</v>
      </c>
    </row>
    <row r="33" spans="1:17">
      <c r="A33" s="146" t="s">
        <v>79</v>
      </c>
      <c r="B33" s="183">
        <v>2464366.79</v>
      </c>
      <c r="C33" s="178">
        <v>3.5</v>
      </c>
      <c r="H33" s="146" t="s">
        <v>42</v>
      </c>
      <c r="I33" s="178">
        <v>124000</v>
      </c>
      <c r="J33" s="178">
        <v>0.5</v>
      </c>
      <c r="N33" s="146" t="s">
        <v>283</v>
      </c>
      <c r="O33" s="183">
        <v>0</v>
      </c>
      <c r="P33" s="183">
        <v>655164.53</v>
      </c>
      <c r="Q33" s="183">
        <v>1.5</v>
      </c>
    </row>
    <row r="34" spans="1:17">
      <c r="A34" s="146" t="s">
        <v>26</v>
      </c>
      <c r="B34" s="183">
        <v>3860310</v>
      </c>
      <c r="C34" s="178">
        <v>4</v>
      </c>
      <c r="H34" s="146" t="s">
        <v>48</v>
      </c>
      <c r="I34" s="178">
        <v>364500</v>
      </c>
      <c r="J34" s="178">
        <v>1</v>
      </c>
      <c r="N34" s="146" t="s">
        <v>336</v>
      </c>
      <c r="O34" s="183">
        <v>0</v>
      </c>
      <c r="P34" s="183">
        <v>610231</v>
      </c>
      <c r="Q34" s="183">
        <v>1</v>
      </c>
    </row>
    <row r="35" spans="1:17">
      <c r="A35" s="146" t="s">
        <v>23</v>
      </c>
      <c r="B35" s="183">
        <v>1417956.6</v>
      </c>
      <c r="C35" s="178">
        <v>3</v>
      </c>
      <c r="H35" s="146" t="s">
        <v>19</v>
      </c>
      <c r="I35" s="178">
        <v>455000</v>
      </c>
      <c r="J35" s="178">
        <v>2</v>
      </c>
      <c r="N35" s="146" t="s">
        <v>263</v>
      </c>
      <c r="O35" s="183">
        <v>0</v>
      </c>
      <c r="P35" s="183">
        <v>432000</v>
      </c>
      <c r="Q35" s="183">
        <v>1</v>
      </c>
    </row>
    <row r="36" spans="1:17">
      <c r="A36" s="146" t="s">
        <v>27</v>
      </c>
      <c r="B36" s="183">
        <v>729045.65</v>
      </c>
      <c r="C36" s="178">
        <v>3</v>
      </c>
      <c r="H36" s="146" t="s">
        <v>235</v>
      </c>
      <c r="I36" s="178">
        <v>643500</v>
      </c>
      <c r="J36" s="178">
        <v>1</v>
      </c>
      <c r="N36" s="146" t="s">
        <v>59</v>
      </c>
      <c r="O36" s="183">
        <v>0</v>
      </c>
      <c r="P36" s="183">
        <v>378000</v>
      </c>
      <c r="Q36" s="183">
        <v>1</v>
      </c>
    </row>
    <row r="37" spans="1:17">
      <c r="A37" s="147">
        <v>5</v>
      </c>
      <c r="B37" s="183">
        <v>59076323.339999996</v>
      </c>
      <c r="C37" s="178">
        <v>132</v>
      </c>
      <c r="H37" s="146" t="s">
        <v>16</v>
      </c>
      <c r="I37" s="178">
        <v>220000</v>
      </c>
      <c r="J37" s="178">
        <v>1</v>
      </c>
      <c r="N37" s="146" t="s">
        <v>335</v>
      </c>
      <c r="O37" s="183">
        <v>0</v>
      </c>
      <c r="P37" s="183">
        <v>367120</v>
      </c>
      <c r="Q37" s="183">
        <v>1</v>
      </c>
    </row>
    <row r="38" spans="1:17">
      <c r="A38" s="146" t="s">
        <v>24</v>
      </c>
      <c r="B38" s="183">
        <v>7378736.0099999998</v>
      </c>
      <c r="C38" s="178">
        <v>18</v>
      </c>
      <c r="H38" s="146" t="s">
        <v>43</v>
      </c>
      <c r="I38" s="178">
        <v>1111091</v>
      </c>
      <c r="J38" s="178">
        <v>3</v>
      </c>
      <c r="N38" s="146" t="s">
        <v>332</v>
      </c>
      <c r="O38" s="183">
        <v>0</v>
      </c>
      <c r="P38" s="183">
        <v>347100</v>
      </c>
      <c r="Q38" s="183">
        <v>1</v>
      </c>
    </row>
    <row r="39" spans="1:17">
      <c r="A39" s="146" t="s">
        <v>61</v>
      </c>
      <c r="B39" s="183">
        <v>7400367.9000000004</v>
      </c>
      <c r="C39" s="178">
        <v>18</v>
      </c>
      <c r="H39" s="146" t="s">
        <v>50</v>
      </c>
      <c r="I39" s="178">
        <v>502256.48</v>
      </c>
      <c r="J39" s="178">
        <v>1</v>
      </c>
      <c r="N39" s="146" t="s">
        <v>63</v>
      </c>
      <c r="O39" s="183">
        <v>0</v>
      </c>
      <c r="P39" s="183">
        <v>248655.5</v>
      </c>
      <c r="Q39" s="183">
        <v>0.5</v>
      </c>
    </row>
    <row r="40" spans="1:17">
      <c r="A40" s="146" t="s">
        <v>25</v>
      </c>
      <c r="B40" s="183">
        <v>16621196.469999999</v>
      </c>
      <c r="C40" s="178">
        <v>34.5</v>
      </c>
      <c r="H40" s="146" t="s">
        <v>44</v>
      </c>
      <c r="I40" s="178">
        <v>636000</v>
      </c>
      <c r="J40" s="178">
        <v>1</v>
      </c>
      <c r="N40" s="146" t="s">
        <v>237</v>
      </c>
      <c r="O40" s="183">
        <v>0</v>
      </c>
      <c r="P40" s="183">
        <v>232037</v>
      </c>
      <c r="Q40" s="183">
        <v>0.5</v>
      </c>
    </row>
    <row r="41" spans="1:17">
      <c r="A41" s="146" t="s">
        <v>79</v>
      </c>
      <c r="B41" s="183">
        <v>3098039.12</v>
      </c>
      <c r="C41" s="178">
        <v>7.5</v>
      </c>
      <c r="H41" s="146" t="s">
        <v>52</v>
      </c>
      <c r="I41" s="178">
        <v>2190000</v>
      </c>
      <c r="J41" s="178">
        <v>1</v>
      </c>
      <c r="N41" s="146" t="s">
        <v>309</v>
      </c>
      <c r="O41" s="183">
        <v>0</v>
      </c>
      <c r="P41" s="183">
        <v>232037</v>
      </c>
      <c r="Q41" s="183">
        <v>0.5</v>
      </c>
    </row>
    <row r="42" spans="1:17">
      <c r="A42" s="146" t="s">
        <v>26</v>
      </c>
      <c r="B42" s="183">
        <v>8809513.879999999</v>
      </c>
      <c r="C42" s="178">
        <v>21</v>
      </c>
      <c r="H42" s="147">
        <v>3</v>
      </c>
      <c r="I42" s="178">
        <v>47891181.070000008</v>
      </c>
      <c r="J42" s="178">
        <v>102</v>
      </c>
      <c r="N42" s="146" t="s">
        <v>285</v>
      </c>
      <c r="O42" s="183">
        <v>0</v>
      </c>
      <c r="P42" s="183">
        <v>195874.23</v>
      </c>
      <c r="Q42" s="183">
        <v>0.5</v>
      </c>
    </row>
    <row r="43" spans="1:17">
      <c r="A43" s="146" t="s">
        <v>23</v>
      </c>
      <c r="B43" s="183">
        <v>6949510.5600000024</v>
      </c>
      <c r="C43" s="178">
        <v>18</v>
      </c>
      <c r="H43" s="146" t="s">
        <v>64</v>
      </c>
      <c r="I43" s="178">
        <v>720844.34</v>
      </c>
      <c r="J43" s="178">
        <v>1.5</v>
      </c>
      <c r="N43" s="146" t="s">
        <v>286</v>
      </c>
      <c r="O43" s="183">
        <v>0</v>
      </c>
      <c r="P43" s="183">
        <v>195874.23</v>
      </c>
      <c r="Q43" s="183">
        <v>0.5</v>
      </c>
    </row>
    <row r="44" spans="1:17">
      <c r="A44" s="146" t="s">
        <v>27</v>
      </c>
      <c r="B44" s="183">
        <v>8818959.3999999985</v>
      </c>
      <c r="C44" s="178">
        <v>15</v>
      </c>
      <c r="H44" s="146" t="s">
        <v>45</v>
      </c>
      <c r="I44" s="178">
        <v>394408.55</v>
      </c>
      <c r="J44" s="178">
        <v>1</v>
      </c>
      <c r="N44" s="146" t="s">
        <v>330</v>
      </c>
      <c r="O44" s="183">
        <v>0</v>
      </c>
      <c r="P44" s="183">
        <v>189100</v>
      </c>
      <c r="Q44" s="183">
        <v>0.5</v>
      </c>
    </row>
    <row r="45" spans="1:17">
      <c r="A45" s="147">
        <v>6</v>
      </c>
      <c r="B45" s="183">
        <v>39931728.980000004</v>
      </c>
      <c r="C45" s="178">
        <v>80.5</v>
      </c>
      <c r="H45" s="146" t="s">
        <v>218</v>
      </c>
      <c r="I45" s="178">
        <v>391134.97</v>
      </c>
      <c r="J45" s="178">
        <v>1</v>
      </c>
      <c r="N45" s="182" t="s">
        <v>327</v>
      </c>
      <c r="O45" s="183">
        <v>0</v>
      </c>
      <c r="P45" s="183">
        <v>2665504.06</v>
      </c>
      <c r="Q45" s="183">
        <v>5</v>
      </c>
    </row>
    <row r="46" spans="1:17">
      <c r="A46" s="146" t="s">
        <v>24</v>
      </c>
      <c r="B46" s="183">
        <v>6585546.620000001</v>
      </c>
      <c r="C46" s="178">
        <v>9.75</v>
      </c>
      <c r="H46" s="146" t="s">
        <v>17</v>
      </c>
      <c r="I46" s="178">
        <v>198058</v>
      </c>
      <c r="J46" s="178">
        <v>1</v>
      </c>
      <c r="N46" s="144" t="s">
        <v>327</v>
      </c>
      <c r="O46" s="183">
        <v>0</v>
      </c>
      <c r="P46" s="183">
        <v>2665504.06</v>
      </c>
      <c r="Q46" s="183">
        <v>5</v>
      </c>
    </row>
    <row r="47" spans="1:17">
      <c r="A47" s="146" t="s">
        <v>61</v>
      </c>
      <c r="B47" s="183">
        <v>5582804.2700000005</v>
      </c>
      <c r="C47" s="178">
        <v>12.5</v>
      </c>
      <c r="H47" s="146" t="s">
        <v>207</v>
      </c>
      <c r="I47" s="178">
        <v>372800</v>
      </c>
      <c r="J47" s="178">
        <v>1</v>
      </c>
      <c r="N47" s="146" t="s">
        <v>360</v>
      </c>
      <c r="O47" s="183">
        <v>0</v>
      </c>
      <c r="P47" s="183">
        <v>1249806.03</v>
      </c>
      <c r="Q47" s="183">
        <v>3</v>
      </c>
    </row>
    <row r="48" spans="1:17">
      <c r="A48" s="146" t="s">
        <v>25</v>
      </c>
      <c r="B48" s="183">
        <v>6647414.5900000017</v>
      </c>
      <c r="C48" s="178">
        <v>15</v>
      </c>
      <c r="H48" s="146" t="s">
        <v>41</v>
      </c>
      <c r="I48" s="178">
        <v>550850.81000000006</v>
      </c>
      <c r="J48" s="178">
        <v>1.5</v>
      </c>
      <c r="N48" s="146" t="s">
        <v>368</v>
      </c>
      <c r="O48" s="183">
        <v>0</v>
      </c>
      <c r="P48" s="183">
        <v>1011891.14</v>
      </c>
      <c r="Q48" s="183">
        <v>1</v>
      </c>
    </row>
    <row r="49" spans="1:17">
      <c r="A49" s="146" t="s">
        <v>79</v>
      </c>
      <c r="B49" s="183">
        <v>4827063.08</v>
      </c>
      <c r="C49" s="178">
        <v>10.5</v>
      </c>
      <c r="H49" s="146" t="s">
        <v>71</v>
      </c>
      <c r="I49" s="178">
        <v>452348.07</v>
      </c>
      <c r="J49" s="178">
        <v>1</v>
      </c>
      <c r="N49" s="146" t="s">
        <v>361</v>
      </c>
      <c r="O49" s="183">
        <v>0</v>
      </c>
      <c r="P49" s="183">
        <v>403806.89</v>
      </c>
      <c r="Q49" s="183">
        <v>1</v>
      </c>
    </row>
    <row r="50" spans="1:17">
      <c r="A50" s="146" t="s">
        <v>26</v>
      </c>
      <c r="B50" s="183">
        <v>7611356.3900000006</v>
      </c>
      <c r="C50" s="178">
        <v>12.25</v>
      </c>
      <c r="H50" s="146" t="s">
        <v>49</v>
      </c>
      <c r="I50" s="178">
        <v>916020.58</v>
      </c>
      <c r="J50" s="178">
        <v>2</v>
      </c>
      <c r="N50" s="182" t="s">
        <v>329</v>
      </c>
      <c r="O50" s="183">
        <v>0</v>
      </c>
      <c r="P50" s="183">
        <v>4242573.6100000003</v>
      </c>
      <c r="Q50" s="183">
        <v>6.5</v>
      </c>
    </row>
    <row r="51" spans="1:17">
      <c r="A51" s="146" t="s">
        <v>23</v>
      </c>
      <c r="B51" s="183">
        <v>4114464.3900000006</v>
      </c>
      <c r="C51" s="178">
        <v>10.5</v>
      </c>
      <c r="H51" s="146" t="s">
        <v>70</v>
      </c>
      <c r="I51" s="178">
        <v>1824092.52</v>
      </c>
      <c r="J51" s="178">
        <v>4</v>
      </c>
      <c r="N51" s="144" t="s">
        <v>339</v>
      </c>
      <c r="O51" s="183">
        <v>0</v>
      </c>
      <c r="P51" s="183">
        <v>2984166.14</v>
      </c>
      <c r="Q51" s="183">
        <v>4</v>
      </c>
    </row>
    <row r="52" spans="1:17">
      <c r="A52" s="146" t="s">
        <v>27</v>
      </c>
      <c r="B52" s="183">
        <v>4563079.6400000006</v>
      </c>
      <c r="C52" s="178">
        <v>10</v>
      </c>
      <c r="H52" s="146" t="s">
        <v>65</v>
      </c>
      <c r="I52" s="178">
        <v>186560</v>
      </c>
      <c r="J52" s="178">
        <v>0.5</v>
      </c>
      <c r="N52" s="146" t="s">
        <v>463</v>
      </c>
      <c r="O52" s="183">
        <v>0</v>
      </c>
      <c r="P52" s="183">
        <v>2307800.1</v>
      </c>
      <c r="Q52" s="183">
        <v>1</v>
      </c>
    </row>
    <row r="53" spans="1:17">
      <c r="A53" s="147">
        <v>7</v>
      </c>
      <c r="B53" s="183">
        <v>19603932.91</v>
      </c>
      <c r="C53" s="178">
        <v>46.5</v>
      </c>
      <c r="H53" s="146" t="s">
        <v>224</v>
      </c>
      <c r="I53" s="178">
        <v>224600</v>
      </c>
      <c r="J53" s="178">
        <v>0.5</v>
      </c>
      <c r="N53" s="146" t="s">
        <v>465</v>
      </c>
      <c r="O53" s="183">
        <v>0</v>
      </c>
      <c r="P53" s="183">
        <v>355683.02</v>
      </c>
      <c r="Q53" s="183">
        <v>1.5</v>
      </c>
    </row>
    <row r="54" spans="1:17">
      <c r="A54" s="146" t="s">
        <v>24</v>
      </c>
      <c r="B54" s="183">
        <v>2680823.91</v>
      </c>
      <c r="C54" s="178">
        <v>6.5</v>
      </c>
      <c r="H54" s="146" t="s">
        <v>67</v>
      </c>
      <c r="I54" s="178">
        <v>218500</v>
      </c>
      <c r="J54" s="178">
        <v>0.5</v>
      </c>
      <c r="N54" s="146" t="s">
        <v>337</v>
      </c>
      <c r="O54" s="183">
        <v>0</v>
      </c>
      <c r="P54" s="183">
        <v>320683.02</v>
      </c>
      <c r="Q54" s="183">
        <v>1.5</v>
      </c>
    </row>
    <row r="55" spans="1:17">
      <c r="A55" s="146" t="s">
        <v>61</v>
      </c>
      <c r="B55" s="183">
        <v>2066956.1999999997</v>
      </c>
      <c r="C55" s="178">
        <v>5</v>
      </c>
      <c r="H55" s="146" t="s">
        <v>47</v>
      </c>
      <c r="I55" s="178">
        <v>667999.94999999995</v>
      </c>
      <c r="J55" s="178">
        <v>1</v>
      </c>
      <c r="N55" s="144" t="s">
        <v>340</v>
      </c>
      <c r="O55" s="183">
        <v>0</v>
      </c>
      <c r="P55" s="183">
        <v>1258407.47</v>
      </c>
      <c r="Q55" s="183">
        <v>2.5</v>
      </c>
    </row>
    <row r="56" spans="1:17">
      <c r="A56" s="146" t="s">
        <v>25</v>
      </c>
      <c r="B56" s="183">
        <v>6560247.0800000001</v>
      </c>
      <c r="C56" s="178">
        <v>14.5</v>
      </c>
      <c r="H56" s="146" t="s">
        <v>62</v>
      </c>
      <c r="I56" s="178">
        <v>218880.01</v>
      </c>
      <c r="J56" s="178">
        <v>0.5</v>
      </c>
      <c r="N56" s="146" t="s">
        <v>337</v>
      </c>
      <c r="O56" s="183">
        <v>0</v>
      </c>
      <c r="P56" s="183">
        <v>524761.72</v>
      </c>
      <c r="Q56" s="183">
        <v>1</v>
      </c>
    </row>
    <row r="57" spans="1:17">
      <c r="A57" s="146" t="s">
        <v>79</v>
      </c>
      <c r="B57" s="178">
        <v>275138.71000000002</v>
      </c>
      <c r="C57" s="178">
        <v>1</v>
      </c>
      <c r="H57" s="146" t="s">
        <v>307</v>
      </c>
      <c r="I57" s="178">
        <v>237500</v>
      </c>
      <c r="J57" s="178">
        <v>0.5</v>
      </c>
      <c r="N57" s="146" t="s">
        <v>465</v>
      </c>
      <c r="O57" s="183">
        <v>0</v>
      </c>
      <c r="P57" s="183">
        <v>484990.25</v>
      </c>
      <c r="Q57" s="183">
        <v>1</v>
      </c>
    </row>
    <row r="58" spans="1:17">
      <c r="A58" s="146" t="s">
        <v>26</v>
      </c>
      <c r="B58" s="183">
        <v>2903148.8200000003</v>
      </c>
      <c r="C58" s="178">
        <v>6.5</v>
      </c>
      <c r="H58" s="146" t="s">
        <v>308</v>
      </c>
      <c r="I58" s="178">
        <v>433388.28</v>
      </c>
      <c r="J58" s="178">
        <v>1.5</v>
      </c>
      <c r="N58" s="146" t="s">
        <v>463</v>
      </c>
      <c r="O58" s="183">
        <v>0</v>
      </c>
      <c r="P58" s="183">
        <v>248655.5</v>
      </c>
      <c r="Q58" s="183">
        <v>0.5</v>
      </c>
    </row>
    <row r="59" spans="1:17">
      <c r="A59" s="146" t="s">
        <v>23</v>
      </c>
      <c r="B59" s="183">
        <v>2524004.63</v>
      </c>
      <c r="C59" s="178">
        <v>6.5</v>
      </c>
      <c r="H59" s="146" t="s">
        <v>80</v>
      </c>
      <c r="I59" s="178">
        <v>1189800.17</v>
      </c>
      <c r="J59" s="178">
        <v>3</v>
      </c>
      <c r="N59" s="182" t="s">
        <v>548</v>
      </c>
      <c r="O59" s="183">
        <v>0</v>
      </c>
      <c r="P59" s="183">
        <v>26512010.580000006</v>
      </c>
      <c r="Q59" s="183">
        <v>58</v>
      </c>
    </row>
    <row r="60" spans="1:17">
      <c r="A60" s="146" t="s">
        <v>27</v>
      </c>
      <c r="B60" s="183">
        <v>2593613.56</v>
      </c>
      <c r="C60" s="178">
        <v>6.5</v>
      </c>
      <c r="H60" s="146" t="s">
        <v>40</v>
      </c>
      <c r="I60" s="178">
        <v>2336000</v>
      </c>
      <c r="J60" s="178">
        <v>3</v>
      </c>
    </row>
    <row r="61" spans="1:17">
      <c r="A61" s="147">
        <v>8</v>
      </c>
      <c r="B61" s="178">
        <v>25780667.829999998</v>
      </c>
      <c r="C61" s="178">
        <v>53</v>
      </c>
      <c r="H61" s="146" t="s">
        <v>59</v>
      </c>
      <c r="I61" s="178">
        <v>850000</v>
      </c>
      <c r="J61" s="178">
        <v>1</v>
      </c>
    </row>
    <row r="62" spans="1:17">
      <c r="A62" s="146" t="s">
        <v>24</v>
      </c>
      <c r="B62" s="178">
        <v>4619496.9499999993</v>
      </c>
      <c r="C62" s="178">
        <v>9</v>
      </c>
      <c r="H62" s="146" t="s">
        <v>75</v>
      </c>
      <c r="I62" s="178">
        <v>915962.46</v>
      </c>
      <c r="J62" s="178">
        <v>2</v>
      </c>
    </row>
    <row r="63" spans="1:17">
      <c r="A63" s="146" t="s">
        <v>61</v>
      </c>
      <c r="B63" s="178">
        <v>3570374.44</v>
      </c>
      <c r="C63" s="178">
        <v>8.5</v>
      </c>
      <c r="H63" s="146" t="s">
        <v>194</v>
      </c>
      <c r="I63" s="178">
        <v>1945023.9</v>
      </c>
      <c r="J63" s="178">
        <v>4</v>
      </c>
    </row>
    <row r="64" spans="1:17">
      <c r="A64" s="146" t="s">
        <v>25</v>
      </c>
      <c r="B64" s="178">
        <v>5534622.9199999999</v>
      </c>
      <c r="C64" s="178">
        <v>8.5</v>
      </c>
      <c r="H64" s="146" t="s">
        <v>31</v>
      </c>
      <c r="I64" s="178">
        <v>240960.82</v>
      </c>
      <c r="J64" s="178">
        <v>1</v>
      </c>
    </row>
    <row r="65" spans="1:10">
      <c r="A65" s="146" t="s">
        <v>79</v>
      </c>
      <c r="B65" s="178">
        <v>2231019.87</v>
      </c>
      <c r="C65" s="178">
        <v>4</v>
      </c>
      <c r="H65" s="146" t="s">
        <v>77</v>
      </c>
      <c r="I65" s="178">
        <v>397899.91</v>
      </c>
      <c r="J65" s="178">
        <v>1</v>
      </c>
    </row>
    <row r="66" spans="1:10">
      <c r="A66" s="146" t="s">
        <v>26</v>
      </c>
      <c r="B66" s="178">
        <v>2880108.68</v>
      </c>
      <c r="C66" s="178">
        <v>7.5</v>
      </c>
      <c r="H66" s="146" t="s">
        <v>69</v>
      </c>
      <c r="I66" s="178">
        <v>214848.07</v>
      </c>
      <c r="J66" s="178">
        <v>0.5</v>
      </c>
    </row>
    <row r="67" spans="1:10">
      <c r="A67" s="146" t="s">
        <v>23</v>
      </c>
      <c r="B67" s="178">
        <v>1468533.88</v>
      </c>
      <c r="C67" s="178">
        <v>4</v>
      </c>
      <c r="H67" s="146" t="s">
        <v>68</v>
      </c>
      <c r="I67" s="178">
        <v>429696.14</v>
      </c>
      <c r="J67" s="178">
        <v>1</v>
      </c>
    </row>
    <row r="68" spans="1:10">
      <c r="A68" s="146" t="s">
        <v>27</v>
      </c>
      <c r="B68" s="178">
        <v>5476511.0899999999</v>
      </c>
      <c r="C68" s="178">
        <v>11.5</v>
      </c>
      <c r="H68" s="146" t="s">
        <v>55</v>
      </c>
      <c r="I68" s="178">
        <v>448707.54</v>
      </c>
      <c r="J68" s="178">
        <v>1</v>
      </c>
    </row>
    <row r="69" spans="1:10">
      <c r="A69" s="147">
        <v>9</v>
      </c>
      <c r="B69" s="178">
        <v>11941253.139999999</v>
      </c>
      <c r="C69" s="178">
        <v>26</v>
      </c>
      <c r="H69" s="146" t="s">
        <v>306</v>
      </c>
      <c r="I69" s="178">
        <v>448707.54</v>
      </c>
      <c r="J69" s="178">
        <v>1</v>
      </c>
    </row>
    <row r="70" spans="1:10">
      <c r="A70" s="146" t="s">
        <v>24</v>
      </c>
      <c r="B70" s="178">
        <v>1414156</v>
      </c>
      <c r="C70" s="178">
        <v>4</v>
      </c>
      <c r="H70" s="146" t="s">
        <v>155</v>
      </c>
      <c r="I70" s="178">
        <v>887037.54</v>
      </c>
      <c r="J70" s="178">
        <v>2</v>
      </c>
    </row>
    <row r="71" spans="1:10">
      <c r="A71" s="146" t="s">
        <v>61</v>
      </c>
      <c r="B71" s="178">
        <v>1218800</v>
      </c>
      <c r="C71" s="178">
        <v>2</v>
      </c>
      <c r="H71" s="146" t="s">
        <v>78</v>
      </c>
      <c r="I71" s="178">
        <v>899700</v>
      </c>
      <c r="J71" s="178">
        <v>1</v>
      </c>
    </row>
    <row r="72" spans="1:10">
      <c r="A72" s="146" t="s">
        <v>25</v>
      </c>
      <c r="B72" s="178">
        <v>5694675.9399999995</v>
      </c>
      <c r="C72" s="178">
        <v>9</v>
      </c>
      <c r="H72" s="146" t="s">
        <v>104</v>
      </c>
      <c r="I72" s="178">
        <v>324288.07</v>
      </c>
      <c r="J72" s="178">
        <v>0.75</v>
      </c>
    </row>
    <row r="73" spans="1:10">
      <c r="A73" s="146" t="s">
        <v>79</v>
      </c>
      <c r="B73" s="178">
        <v>609100</v>
      </c>
      <c r="C73" s="178">
        <v>1</v>
      </c>
      <c r="H73" s="146" t="s">
        <v>66</v>
      </c>
      <c r="I73" s="178">
        <v>2696140.07</v>
      </c>
      <c r="J73" s="178">
        <v>6</v>
      </c>
    </row>
    <row r="74" spans="1:10">
      <c r="A74" s="146" t="s">
        <v>26</v>
      </c>
      <c r="B74" s="178">
        <v>1847895.2</v>
      </c>
      <c r="C74" s="178">
        <v>6</v>
      </c>
      <c r="H74" s="146" t="s">
        <v>42</v>
      </c>
      <c r="I74" s="178">
        <v>550850.81000000006</v>
      </c>
      <c r="J74" s="178">
        <v>1.5</v>
      </c>
    </row>
    <row r="75" spans="1:10">
      <c r="A75" s="146" t="s">
        <v>27</v>
      </c>
      <c r="B75" s="178">
        <v>1156626</v>
      </c>
      <c r="C75" s="178">
        <v>4</v>
      </c>
      <c r="H75" s="146" t="s">
        <v>48</v>
      </c>
      <c r="I75" s="178">
        <v>1131746.03</v>
      </c>
      <c r="J75" s="178">
        <v>3</v>
      </c>
    </row>
    <row r="76" spans="1:10">
      <c r="A76" s="147">
        <v>10</v>
      </c>
      <c r="B76" s="178">
        <v>13806620.82</v>
      </c>
      <c r="C76" s="178">
        <v>28</v>
      </c>
      <c r="H76" s="146" t="s">
        <v>196</v>
      </c>
      <c r="I76" s="178">
        <v>5918632.2400000002</v>
      </c>
      <c r="J76" s="178">
        <v>12</v>
      </c>
    </row>
    <row r="77" spans="1:10">
      <c r="A77" s="146" t="s">
        <v>24</v>
      </c>
      <c r="B77" s="178">
        <v>1091908.3399999999</v>
      </c>
      <c r="C77" s="178">
        <v>3</v>
      </c>
      <c r="H77" s="146" t="s">
        <v>56</v>
      </c>
      <c r="I77" s="178">
        <v>1634290</v>
      </c>
      <c r="J77" s="178">
        <v>2.5</v>
      </c>
    </row>
    <row r="78" spans="1:10">
      <c r="A78" s="146" t="s">
        <v>61</v>
      </c>
      <c r="B78" s="178">
        <v>2000282.18</v>
      </c>
      <c r="C78" s="178">
        <v>6</v>
      </c>
      <c r="H78" s="146" t="s">
        <v>19</v>
      </c>
      <c r="I78" s="178">
        <v>450000</v>
      </c>
      <c r="J78" s="178">
        <v>2</v>
      </c>
    </row>
    <row r="79" spans="1:10">
      <c r="A79" s="146" t="s">
        <v>25</v>
      </c>
      <c r="B79" s="178">
        <v>3409834</v>
      </c>
      <c r="C79" s="178">
        <v>4</v>
      </c>
      <c r="H79" s="146" t="s">
        <v>235</v>
      </c>
      <c r="I79" s="178">
        <v>699033</v>
      </c>
      <c r="J79" s="178">
        <v>1</v>
      </c>
    </row>
    <row r="80" spans="1:10">
      <c r="A80" s="146" t="s">
        <v>26</v>
      </c>
      <c r="B80" s="178">
        <v>3038300</v>
      </c>
      <c r="C80" s="178">
        <v>3.5</v>
      </c>
      <c r="H80" s="146" t="s">
        <v>309</v>
      </c>
      <c r="I80" s="178">
        <v>3955392.78</v>
      </c>
      <c r="J80" s="178">
        <v>5.5</v>
      </c>
    </row>
    <row r="81" spans="1:10">
      <c r="A81" s="146" t="s">
        <v>23</v>
      </c>
      <c r="B81" s="178">
        <v>1440150.55</v>
      </c>
      <c r="C81" s="178">
        <v>4</v>
      </c>
      <c r="H81" s="146" t="s">
        <v>43</v>
      </c>
      <c r="I81" s="178">
        <v>34912.03</v>
      </c>
      <c r="J81" s="178">
        <v>1</v>
      </c>
    </row>
    <row r="82" spans="1:10">
      <c r="A82" s="146" t="s">
        <v>27</v>
      </c>
      <c r="B82" s="178">
        <v>1876056.35</v>
      </c>
      <c r="C82" s="178">
        <v>5.5</v>
      </c>
      <c r="H82" s="146" t="s">
        <v>60</v>
      </c>
      <c r="I82" s="178">
        <v>505000</v>
      </c>
      <c r="J82" s="178">
        <v>1</v>
      </c>
    </row>
    <row r="83" spans="1:10">
      <c r="A83" s="146" t="s">
        <v>460</v>
      </c>
      <c r="B83" s="178">
        <v>950089.4</v>
      </c>
      <c r="C83" s="178">
        <v>2</v>
      </c>
      <c r="H83" s="146" t="s">
        <v>22</v>
      </c>
      <c r="I83" s="178">
        <v>4180052.45</v>
      </c>
      <c r="J83" s="178">
        <v>9.75</v>
      </c>
    </row>
    <row r="84" spans="1:10">
      <c r="A84" s="147">
        <v>11</v>
      </c>
      <c r="B84" s="178">
        <v>64765991.300000004</v>
      </c>
      <c r="C84" s="178">
        <v>199</v>
      </c>
      <c r="H84" s="146" t="s">
        <v>63</v>
      </c>
      <c r="I84" s="178">
        <v>698251.14</v>
      </c>
      <c r="J84" s="178">
        <v>1.5</v>
      </c>
    </row>
    <row r="85" spans="1:10">
      <c r="A85" s="146" t="s">
        <v>24</v>
      </c>
      <c r="B85" s="178">
        <v>10847214.120000001</v>
      </c>
      <c r="C85" s="178">
        <v>32</v>
      </c>
      <c r="H85" s="146" t="s">
        <v>257</v>
      </c>
      <c r="I85" s="178">
        <v>193680</v>
      </c>
      <c r="J85" s="178">
        <v>0.5</v>
      </c>
    </row>
    <row r="86" spans="1:10">
      <c r="A86" s="146" t="s">
        <v>61</v>
      </c>
      <c r="B86" s="178">
        <v>9848607.1699999981</v>
      </c>
      <c r="C86" s="178">
        <v>30.5</v>
      </c>
      <c r="H86" s="146" t="s">
        <v>237</v>
      </c>
      <c r="I86" s="178">
        <v>389830</v>
      </c>
      <c r="J86" s="178">
        <v>1</v>
      </c>
    </row>
    <row r="87" spans="1:10">
      <c r="A87" s="146" t="s">
        <v>25</v>
      </c>
      <c r="B87" s="178">
        <v>9312928.4400000013</v>
      </c>
      <c r="C87" s="178">
        <v>27</v>
      </c>
      <c r="H87" s="146" t="s">
        <v>140</v>
      </c>
      <c r="I87" s="178">
        <v>1555248.06</v>
      </c>
      <c r="J87" s="178">
        <v>3.5</v>
      </c>
    </row>
    <row r="88" spans="1:10">
      <c r="A88" s="146" t="s">
        <v>26</v>
      </c>
      <c r="B88" s="178">
        <v>9268580.4399999995</v>
      </c>
      <c r="C88" s="178">
        <v>27.5</v>
      </c>
      <c r="H88" s="146" t="s">
        <v>197</v>
      </c>
      <c r="I88" s="178">
        <v>224600</v>
      </c>
      <c r="J88" s="178">
        <v>0.5</v>
      </c>
    </row>
    <row r="89" spans="1:10">
      <c r="A89" s="146" t="s">
        <v>23</v>
      </c>
      <c r="B89" s="178">
        <v>9232981.8499999978</v>
      </c>
      <c r="C89" s="178">
        <v>29</v>
      </c>
      <c r="H89" s="146" t="s">
        <v>50</v>
      </c>
      <c r="I89" s="178">
        <v>31443</v>
      </c>
      <c r="J89" s="178">
        <v>1</v>
      </c>
    </row>
    <row r="90" spans="1:10">
      <c r="A90" s="146" t="s">
        <v>27</v>
      </c>
      <c r="B90" s="178">
        <v>8057054.0049999999</v>
      </c>
      <c r="C90" s="178">
        <v>25</v>
      </c>
      <c r="H90" s="146" t="s">
        <v>239</v>
      </c>
      <c r="I90" s="178">
        <v>122538.28</v>
      </c>
      <c r="J90" s="178">
        <v>0.5</v>
      </c>
    </row>
    <row r="91" spans="1:10">
      <c r="A91" s="146" t="s">
        <v>460</v>
      </c>
      <c r="B91" s="178">
        <v>6663690.9349999996</v>
      </c>
      <c r="C91" s="178">
        <v>23</v>
      </c>
      <c r="H91" s="146" t="s">
        <v>312</v>
      </c>
      <c r="I91" s="178">
        <v>1438921</v>
      </c>
      <c r="J91" s="178">
        <v>3</v>
      </c>
    </row>
    <row r="92" spans="1:10">
      <c r="A92" s="146" t="s">
        <v>357</v>
      </c>
      <c r="B92" s="178">
        <v>1534934.34</v>
      </c>
      <c r="C92" s="178">
        <v>5</v>
      </c>
      <c r="H92" s="146" t="s">
        <v>313</v>
      </c>
      <c r="I92" s="178">
        <v>967151.94</v>
      </c>
      <c r="J92" s="178">
        <v>2</v>
      </c>
    </row>
    <row r="93" spans="1:10">
      <c r="A93" s="147">
        <v>12</v>
      </c>
      <c r="B93" s="178">
        <v>9934700.1799999997</v>
      </c>
      <c r="C93" s="178">
        <v>26</v>
      </c>
      <c r="H93" s="146" t="s">
        <v>72</v>
      </c>
      <c r="I93" s="178">
        <v>976850</v>
      </c>
      <c r="J93" s="178">
        <v>2</v>
      </c>
    </row>
    <row r="94" spans="1:10">
      <c r="A94" s="146" t="s">
        <v>24</v>
      </c>
      <c r="B94" s="178">
        <v>2014426.92</v>
      </c>
      <c r="C94" s="178">
        <v>5</v>
      </c>
      <c r="H94" s="147">
        <v>4</v>
      </c>
      <c r="I94" s="178">
        <v>13051567.27</v>
      </c>
      <c r="J94" s="178">
        <v>24.5</v>
      </c>
    </row>
    <row r="95" spans="1:10">
      <c r="A95" s="146" t="s">
        <v>61</v>
      </c>
      <c r="B95" s="178">
        <v>1708138.57</v>
      </c>
      <c r="C95" s="178">
        <v>4</v>
      </c>
      <c r="H95" s="146" t="s">
        <v>212</v>
      </c>
      <c r="I95" s="178">
        <v>254200</v>
      </c>
      <c r="J95" s="178">
        <v>1</v>
      </c>
    </row>
    <row r="96" spans="1:10">
      <c r="A96" s="146" t="s">
        <v>25</v>
      </c>
      <c r="B96" s="178">
        <v>2137486.33</v>
      </c>
      <c r="C96" s="178">
        <v>6</v>
      </c>
      <c r="H96" s="146" t="s">
        <v>17</v>
      </c>
      <c r="I96" s="178">
        <v>119900</v>
      </c>
      <c r="J96" s="178">
        <v>0.5</v>
      </c>
    </row>
    <row r="97" spans="1:10">
      <c r="A97" s="146" t="s">
        <v>26</v>
      </c>
      <c r="B97" s="178">
        <v>934474.97</v>
      </c>
      <c r="C97" s="178">
        <v>2</v>
      </c>
      <c r="H97" s="146" t="s">
        <v>87</v>
      </c>
      <c r="I97" s="178">
        <v>577155</v>
      </c>
      <c r="J97" s="178">
        <v>1</v>
      </c>
    </row>
    <row r="98" spans="1:10">
      <c r="A98" s="146" t="s">
        <v>23</v>
      </c>
      <c r="B98" s="178">
        <v>1987086.39</v>
      </c>
      <c r="C98" s="178">
        <v>6</v>
      </c>
      <c r="H98" s="146" t="s">
        <v>206</v>
      </c>
      <c r="I98" s="178">
        <v>119900</v>
      </c>
      <c r="J98" s="178">
        <v>0.5</v>
      </c>
    </row>
    <row r="99" spans="1:10">
      <c r="A99" s="146" t="s">
        <v>27</v>
      </c>
      <c r="B99" s="178">
        <v>765131</v>
      </c>
      <c r="C99" s="178">
        <v>2</v>
      </c>
      <c r="H99" s="146" t="s">
        <v>207</v>
      </c>
      <c r="I99" s="178">
        <v>399802.79</v>
      </c>
      <c r="J99" s="178">
        <v>1</v>
      </c>
    </row>
    <row r="100" spans="1:10">
      <c r="A100" s="146" t="s">
        <v>460</v>
      </c>
      <c r="B100" s="178">
        <v>387956</v>
      </c>
      <c r="C100" s="178">
        <v>1</v>
      </c>
      <c r="H100" s="146" t="s">
        <v>308</v>
      </c>
      <c r="I100" s="178">
        <v>2055000</v>
      </c>
      <c r="J100" s="178">
        <v>1</v>
      </c>
    </row>
    <row r="101" spans="1:10">
      <c r="A101" s="145">
        <v>2014</v>
      </c>
      <c r="B101" s="178">
        <v>19598821.740000002</v>
      </c>
      <c r="C101" s="178">
        <v>45.5</v>
      </c>
      <c r="H101" s="146" t="s">
        <v>39</v>
      </c>
      <c r="I101" s="178">
        <v>273871.5</v>
      </c>
      <c r="J101" s="178">
        <v>1</v>
      </c>
    </row>
    <row r="102" spans="1:10">
      <c r="A102" s="147">
        <v>1</v>
      </c>
      <c r="B102" s="178">
        <v>14138045.620000001</v>
      </c>
      <c r="C102" s="178">
        <v>31</v>
      </c>
      <c r="H102" s="146" t="s">
        <v>40</v>
      </c>
      <c r="I102" s="178">
        <v>880000</v>
      </c>
      <c r="J102" s="178">
        <v>1</v>
      </c>
    </row>
    <row r="103" spans="1:10">
      <c r="A103" s="146" t="s">
        <v>24</v>
      </c>
      <c r="B103" s="178">
        <v>686832</v>
      </c>
      <c r="C103" s="178">
        <v>2</v>
      </c>
      <c r="H103" s="146" t="s">
        <v>59</v>
      </c>
      <c r="I103" s="178">
        <v>862309.56</v>
      </c>
      <c r="J103" s="178">
        <v>1</v>
      </c>
    </row>
    <row r="104" spans="1:10">
      <c r="A104" s="146" t="s">
        <v>61</v>
      </c>
      <c r="B104" s="178">
        <v>1716009</v>
      </c>
      <c r="C104" s="178">
        <v>4</v>
      </c>
      <c r="H104" s="146" t="s">
        <v>38</v>
      </c>
      <c r="I104" s="178">
        <v>1163756.6000000001</v>
      </c>
      <c r="J104" s="178">
        <v>2</v>
      </c>
    </row>
    <row r="105" spans="1:10">
      <c r="A105" s="146" t="s">
        <v>25</v>
      </c>
      <c r="B105" s="178">
        <v>1740655.335</v>
      </c>
      <c r="C105" s="178">
        <v>5.5</v>
      </c>
      <c r="H105" s="146" t="s">
        <v>141</v>
      </c>
      <c r="I105" s="178">
        <v>519437.9</v>
      </c>
      <c r="J105" s="178">
        <v>2</v>
      </c>
    </row>
    <row r="106" spans="1:10">
      <c r="A106" s="146" t="s">
        <v>26</v>
      </c>
      <c r="B106" s="178">
        <v>2671566.4300000002</v>
      </c>
      <c r="C106" s="178">
        <v>7</v>
      </c>
      <c r="H106" s="146" t="s">
        <v>196</v>
      </c>
      <c r="I106" s="178">
        <v>613400</v>
      </c>
      <c r="J106" s="178">
        <v>1</v>
      </c>
    </row>
    <row r="107" spans="1:10">
      <c r="A107" s="146" t="s">
        <v>23</v>
      </c>
      <c r="B107" s="178">
        <v>999859.92500000005</v>
      </c>
      <c r="C107" s="178">
        <v>2.5</v>
      </c>
      <c r="H107" s="146" t="s">
        <v>19</v>
      </c>
      <c r="I107" s="178">
        <v>455174.15</v>
      </c>
      <c r="J107" s="178">
        <v>2</v>
      </c>
    </row>
    <row r="108" spans="1:10">
      <c r="A108" s="146" t="s">
        <v>27</v>
      </c>
      <c r="B108" s="178">
        <v>3443833.9299999997</v>
      </c>
      <c r="C108" s="178">
        <v>5</v>
      </c>
      <c r="H108" s="146" t="s">
        <v>140</v>
      </c>
      <c r="I108" s="178">
        <v>407409</v>
      </c>
      <c r="J108" s="178">
        <v>1</v>
      </c>
    </row>
    <row r="109" spans="1:10">
      <c r="A109" s="146" t="s">
        <v>460</v>
      </c>
      <c r="B109" s="178">
        <v>2135428.2400000002</v>
      </c>
      <c r="C109" s="178">
        <v>3</v>
      </c>
      <c r="H109" s="146" t="s">
        <v>313</v>
      </c>
      <c r="I109" s="178">
        <v>235000</v>
      </c>
      <c r="J109" s="178">
        <v>1</v>
      </c>
    </row>
    <row r="110" spans="1:10">
      <c r="A110" s="146" t="s">
        <v>357</v>
      </c>
      <c r="B110" s="178">
        <v>743860.76</v>
      </c>
      <c r="C110" s="178">
        <v>2</v>
      </c>
      <c r="H110" s="146" t="s">
        <v>200</v>
      </c>
      <c r="I110" s="178">
        <v>200000</v>
      </c>
      <c r="J110" s="178">
        <v>1</v>
      </c>
    </row>
    <row r="111" spans="1:10">
      <c r="A111" s="147">
        <v>2</v>
      </c>
      <c r="B111" s="178">
        <v>5460776.1200000001</v>
      </c>
      <c r="C111" s="178">
        <v>14.5</v>
      </c>
      <c r="H111" s="146" t="s">
        <v>20</v>
      </c>
      <c r="I111" s="178">
        <v>1805310</v>
      </c>
      <c r="J111" s="178">
        <v>3</v>
      </c>
    </row>
    <row r="112" spans="1:10">
      <c r="A112" s="146" t="s">
        <v>24</v>
      </c>
      <c r="B112" s="178">
        <v>126350</v>
      </c>
      <c r="C112" s="178">
        <v>0.5</v>
      </c>
      <c r="H112" s="146" t="s">
        <v>44</v>
      </c>
      <c r="I112" s="178">
        <v>255100</v>
      </c>
      <c r="J112" s="178">
        <v>1</v>
      </c>
    </row>
    <row r="113" spans="1:10">
      <c r="A113" s="146" t="s">
        <v>61</v>
      </c>
      <c r="B113" s="178">
        <v>483529.12</v>
      </c>
      <c r="C113" s="178">
        <v>1</v>
      </c>
      <c r="H113" s="146" t="s">
        <v>128</v>
      </c>
      <c r="I113" s="178">
        <v>1080000</v>
      </c>
      <c r="J113" s="178">
        <v>0.5</v>
      </c>
    </row>
    <row r="114" spans="1:10">
      <c r="A114" s="146" t="s">
        <v>25</v>
      </c>
      <c r="B114" s="178">
        <v>345960</v>
      </c>
      <c r="C114" s="178">
        <v>1</v>
      </c>
      <c r="H114" s="146" t="s">
        <v>84</v>
      </c>
      <c r="I114" s="178">
        <v>510040.77</v>
      </c>
      <c r="J114" s="178">
        <v>1</v>
      </c>
    </row>
    <row r="115" spans="1:10">
      <c r="A115" s="146" t="s">
        <v>26</v>
      </c>
      <c r="B115" s="178">
        <v>3044537</v>
      </c>
      <c r="C115" s="178">
        <v>8</v>
      </c>
      <c r="H115" s="146" t="s">
        <v>129</v>
      </c>
      <c r="I115" s="178">
        <v>264800</v>
      </c>
      <c r="J115" s="178">
        <v>1</v>
      </c>
    </row>
    <row r="116" spans="1:10">
      <c r="A116" s="146" t="s">
        <v>27</v>
      </c>
      <c r="B116" s="178">
        <v>981000</v>
      </c>
      <c r="C116" s="178">
        <v>3</v>
      </c>
      <c r="H116" s="147">
        <v>5</v>
      </c>
      <c r="I116" s="178">
        <v>59076323.340000011</v>
      </c>
      <c r="J116" s="178">
        <v>132</v>
      </c>
    </row>
    <row r="117" spans="1:10">
      <c r="A117" s="146" t="s">
        <v>460</v>
      </c>
      <c r="B117" s="178">
        <v>479400</v>
      </c>
      <c r="C117" s="178">
        <v>1</v>
      </c>
      <c r="H117" s="146" t="s">
        <v>161</v>
      </c>
      <c r="I117" s="178">
        <v>177799.85</v>
      </c>
      <c r="J117" s="178">
        <v>0.5</v>
      </c>
    </row>
    <row r="118" spans="1:10">
      <c r="A118" s="145" t="s">
        <v>548</v>
      </c>
      <c r="B118" s="183">
        <v>343079262.64000005</v>
      </c>
      <c r="C118" s="178">
        <v>804</v>
      </c>
      <c r="H118" s="146" t="s">
        <v>18</v>
      </c>
      <c r="I118" s="178">
        <v>402000.02</v>
      </c>
      <c r="J118" s="178">
        <v>2</v>
      </c>
    </row>
    <row r="119" spans="1:10">
      <c r="H119" s="146" t="s">
        <v>121</v>
      </c>
      <c r="I119" s="178">
        <v>320425</v>
      </c>
      <c r="J119" s="178">
        <v>1</v>
      </c>
    </row>
    <row r="120" spans="1:10">
      <c r="H120" s="146" t="s">
        <v>170</v>
      </c>
      <c r="I120" s="178">
        <v>199987.05</v>
      </c>
      <c r="J120" s="178">
        <v>0.5</v>
      </c>
    </row>
    <row r="121" spans="1:10">
      <c r="H121" s="146" t="s">
        <v>187</v>
      </c>
      <c r="I121" s="178">
        <v>2885000</v>
      </c>
      <c r="J121" s="178">
        <v>3</v>
      </c>
    </row>
    <row r="122" spans="1:10">
      <c r="H122" s="146" t="s">
        <v>152</v>
      </c>
      <c r="I122" s="178">
        <v>370940</v>
      </c>
      <c r="J122" s="178">
        <v>1</v>
      </c>
    </row>
    <row r="123" spans="1:10">
      <c r="H123" s="146" t="s">
        <v>179</v>
      </c>
      <c r="I123" s="178">
        <v>330000</v>
      </c>
      <c r="J123" s="178">
        <v>1</v>
      </c>
    </row>
    <row r="124" spans="1:10">
      <c r="H124" s="146" t="s">
        <v>218</v>
      </c>
      <c r="I124" s="178">
        <v>1168256.9099999999</v>
      </c>
      <c r="J124" s="178">
        <v>3.5</v>
      </c>
    </row>
    <row r="125" spans="1:10">
      <c r="H125" s="146" t="s">
        <v>17</v>
      </c>
      <c r="I125" s="178">
        <v>403500</v>
      </c>
      <c r="J125" s="178">
        <v>2</v>
      </c>
    </row>
    <row r="126" spans="1:10">
      <c r="H126" s="146" t="s">
        <v>206</v>
      </c>
      <c r="I126" s="178">
        <v>2890752.91</v>
      </c>
      <c r="J126" s="178">
        <v>5.5</v>
      </c>
    </row>
    <row r="127" spans="1:10">
      <c r="H127" s="146" t="s">
        <v>207</v>
      </c>
      <c r="I127" s="178">
        <v>1245888</v>
      </c>
      <c r="J127" s="178">
        <v>3</v>
      </c>
    </row>
    <row r="128" spans="1:10">
      <c r="H128" s="146" t="s">
        <v>176</v>
      </c>
      <c r="I128" s="178">
        <v>186526.58</v>
      </c>
      <c r="J128" s="178">
        <v>0.5</v>
      </c>
    </row>
    <row r="129" spans="8:10">
      <c r="H129" s="146" t="s">
        <v>41</v>
      </c>
      <c r="I129" s="178">
        <v>230154.07</v>
      </c>
      <c r="J129" s="178">
        <v>0.5</v>
      </c>
    </row>
    <row r="130" spans="8:10">
      <c r="H130" s="146" t="s">
        <v>71</v>
      </c>
      <c r="I130" s="178">
        <v>361688.24</v>
      </c>
      <c r="J130" s="178">
        <v>1</v>
      </c>
    </row>
    <row r="131" spans="8:10">
      <c r="H131" s="146" t="s">
        <v>49</v>
      </c>
      <c r="I131" s="178">
        <v>1445385.7300000002</v>
      </c>
      <c r="J131" s="178">
        <v>4</v>
      </c>
    </row>
    <row r="132" spans="8:10">
      <c r="H132" s="146" t="s">
        <v>65</v>
      </c>
      <c r="I132" s="178">
        <v>1130212.46</v>
      </c>
      <c r="J132" s="178">
        <v>3</v>
      </c>
    </row>
    <row r="133" spans="8:10">
      <c r="H133" s="146" t="s">
        <v>162</v>
      </c>
      <c r="I133" s="178">
        <v>676853.75</v>
      </c>
      <c r="J133" s="178">
        <v>2</v>
      </c>
    </row>
    <row r="134" spans="8:10">
      <c r="H134" s="146" t="s">
        <v>171</v>
      </c>
      <c r="I134" s="178">
        <v>837740.89</v>
      </c>
      <c r="J134" s="178">
        <v>2</v>
      </c>
    </row>
    <row r="135" spans="8:10">
      <c r="H135" s="146" t="s">
        <v>67</v>
      </c>
      <c r="I135" s="178">
        <v>357676.5</v>
      </c>
      <c r="J135" s="178">
        <v>1</v>
      </c>
    </row>
    <row r="136" spans="8:10">
      <c r="H136" s="146" t="s">
        <v>62</v>
      </c>
      <c r="I136" s="178">
        <v>2695628.1100000003</v>
      </c>
      <c r="J136" s="178">
        <v>6.5</v>
      </c>
    </row>
    <row r="137" spans="8:10">
      <c r="H137" s="146" t="s">
        <v>307</v>
      </c>
      <c r="I137" s="178">
        <v>361688.24</v>
      </c>
      <c r="J137" s="178">
        <v>1</v>
      </c>
    </row>
    <row r="138" spans="8:10">
      <c r="H138" s="146" t="s">
        <v>308</v>
      </c>
      <c r="I138" s="178">
        <v>2574014.84</v>
      </c>
      <c r="J138" s="178">
        <v>5</v>
      </c>
    </row>
    <row r="139" spans="8:10">
      <c r="H139" s="146" t="s">
        <v>80</v>
      </c>
      <c r="I139" s="178">
        <v>953332.26</v>
      </c>
      <c r="J139" s="178">
        <v>2.5</v>
      </c>
    </row>
    <row r="140" spans="8:10">
      <c r="H140" s="146" t="s">
        <v>40</v>
      </c>
      <c r="I140" s="178">
        <v>850000</v>
      </c>
      <c r="J140" s="178">
        <v>1</v>
      </c>
    </row>
    <row r="141" spans="8:10">
      <c r="H141" s="146" t="s">
        <v>168</v>
      </c>
      <c r="I141" s="178">
        <v>199987.05</v>
      </c>
      <c r="J141" s="178">
        <v>0.5</v>
      </c>
    </row>
    <row r="142" spans="8:10">
      <c r="H142" s="146" t="s">
        <v>193</v>
      </c>
      <c r="I142" s="178">
        <v>145000</v>
      </c>
      <c r="J142" s="178">
        <v>0.5</v>
      </c>
    </row>
    <row r="143" spans="8:10">
      <c r="H143" s="146" t="s">
        <v>75</v>
      </c>
      <c r="I143" s="178">
        <v>1047069.31</v>
      </c>
      <c r="J143" s="178">
        <v>2</v>
      </c>
    </row>
    <row r="144" spans="8:10">
      <c r="H144" s="146" t="s">
        <v>296</v>
      </c>
      <c r="I144" s="178">
        <v>590171.83000000007</v>
      </c>
      <c r="J144" s="178">
        <v>1.5</v>
      </c>
    </row>
    <row r="145" spans="8:10">
      <c r="H145" s="146" t="s">
        <v>194</v>
      </c>
      <c r="I145" s="178">
        <v>1021165.44</v>
      </c>
      <c r="J145" s="178">
        <v>2.5</v>
      </c>
    </row>
    <row r="146" spans="8:10">
      <c r="H146" s="146" t="s">
        <v>148</v>
      </c>
      <c r="I146" s="178">
        <v>590087.57000000007</v>
      </c>
      <c r="J146" s="178">
        <v>1.5</v>
      </c>
    </row>
    <row r="147" spans="8:10">
      <c r="H147" s="146" t="s">
        <v>153</v>
      </c>
      <c r="I147" s="178">
        <v>1008415.3200000001</v>
      </c>
      <c r="J147" s="178">
        <v>2.5</v>
      </c>
    </row>
    <row r="148" spans="8:10">
      <c r="H148" s="146" t="s">
        <v>77</v>
      </c>
      <c r="I148" s="178">
        <v>625000</v>
      </c>
      <c r="J148" s="178">
        <v>1</v>
      </c>
    </row>
    <row r="149" spans="8:10">
      <c r="H149" s="146" t="s">
        <v>55</v>
      </c>
      <c r="I149" s="178">
        <v>700500.32</v>
      </c>
      <c r="J149" s="178">
        <v>1.5</v>
      </c>
    </row>
    <row r="150" spans="8:10">
      <c r="H150" s="146" t="s">
        <v>159</v>
      </c>
      <c r="I150" s="178">
        <v>550102.77</v>
      </c>
      <c r="J150" s="178">
        <v>1.5</v>
      </c>
    </row>
    <row r="151" spans="8:10">
      <c r="H151" s="146" t="s">
        <v>38</v>
      </c>
      <c r="I151" s="178">
        <v>1431605.0799999998</v>
      </c>
      <c r="J151" s="178">
        <v>3</v>
      </c>
    </row>
    <row r="152" spans="8:10">
      <c r="H152" s="146" t="s">
        <v>154</v>
      </c>
      <c r="I152" s="178">
        <v>659200</v>
      </c>
      <c r="J152" s="178">
        <v>2</v>
      </c>
    </row>
    <row r="153" spans="8:10">
      <c r="H153" s="146" t="s">
        <v>155</v>
      </c>
      <c r="I153" s="178">
        <v>1047069.31</v>
      </c>
      <c r="J153" s="178">
        <v>2</v>
      </c>
    </row>
    <row r="154" spans="8:10">
      <c r="H154" s="146" t="s">
        <v>169</v>
      </c>
      <c r="I154" s="178">
        <v>199987.05</v>
      </c>
      <c r="J154" s="178">
        <v>0.5</v>
      </c>
    </row>
    <row r="155" spans="8:10">
      <c r="H155" s="146" t="s">
        <v>104</v>
      </c>
      <c r="I155" s="178">
        <v>381250</v>
      </c>
      <c r="J155" s="178">
        <v>1</v>
      </c>
    </row>
    <row r="156" spans="8:10">
      <c r="H156" s="146" t="s">
        <v>42</v>
      </c>
      <c r="I156" s="178">
        <v>777578.52</v>
      </c>
      <c r="J156" s="178">
        <v>2</v>
      </c>
    </row>
    <row r="157" spans="8:10">
      <c r="H157" s="146" t="s">
        <v>173</v>
      </c>
      <c r="I157" s="178">
        <v>3350000</v>
      </c>
      <c r="J157" s="178">
        <v>1.5</v>
      </c>
    </row>
    <row r="158" spans="8:10">
      <c r="H158" s="146" t="s">
        <v>141</v>
      </c>
      <c r="I158" s="178">
        <v>752260.84</v>
      </c>
      <c r="J158" s="178">
        <v>2</v>
      </c>
    </row>
    <row r="159" spans="8:10">
      <c r="H159" s="146" t="s">
        <v>48</v>
      </c>
      <c r="I159" s="178">
        <v>720318.12</v>
      </c>
      <c r="J159" s="178">
        <v>1.5</v>
      </c>
    </row>
    <row r="160" spans="8:10">
      <c r="H160" s="146" t="s">
        <v>149</v>
      </c>
      <c r="I160" s="178">
        <v>233500.33</v>
      </c>
      <c r="J160" s="178">
        <v>0.5</v>
      </c>
    </row>
    <row r="161" spans="8:10">
      <c r="H161" s="146" t="s">
        <v>196</v>
      </c>
      <c r="I161" s="178">
        <v>956351.07000000007</v>
      </c>
      <c r="J161" s="178">
        <v>3</v>
      </c>
    </row>
    <row r="162" spans="8:10">
      <c r="H162" s="146" t="s">
        <v>147</v>
      </c>
      <c r="I162" s="178">
        <v>1290649.52</v>
      </c>
      <c r="J162" s="178">
        <v>3</v>
      </c>
    </row>
    <row r="163" spans="8:10">
      <c r="H163" s="146" t="s">
        <v>309</v>
      </c>
      <c r="I163" s="178">
        <v>1009876.5</v>
      </c>
      <c r="J163" s="178">
        <v>2.5</v>
      </c>
    </row>
    <row r="164" spans="8:10">
      <c r="H164" s="146" t="s">
        <v>60</v>
      </c>
      <c r="I164" s="178">
        <v>370115.96</v>
      </c>
      <c r="J164" s="178">
        <v>1</v>
      </c>
    </row>
    <row r="165" spans="8:10">
      <c r="H165" s="146" t="s">
        <v>63</v>
      </c>
      <c r="I165" s="178">
        <v>1234665.0899999999</v>
      </c>
      <c r="J165" s="178">
        <v>2.5</v>
      </c>
    </row>
    <row r="166" spans="8:10">
      <c r="H166" s="146" t="s">
        <v>310</v>
      </c>
      <c r="I166" s="178">
        <v>847000</v>
      </c>
      <c r="J166" s="178">
        <v>2</v>
      </c>
    </row>
    <row r="167" spans="8:10">
      <c r="H167" s="146" t="s">
        <v>172</v>
      </c>
      <c r="I167" s="178">
        <v>1132651.56</v>
      </c>
      <c r="J167" s="178">
        <v>3</v>
      </c>
    </row>
    <row r="168" spans="8:10">
      <c r="H168" s="146" t="s">
        <v>237</v>
      </c>
      <c r="I168" s="178">
        <v>659366</v>
      </c>
      <c r="J168" s="178">
        <v>1</v>
      </c>
    </row>
    <row r="169" spans="8:10">
      <c r="H169" s="146" t="s">
        <v>140</v>
      </c>
      <c r="I169" s="178">
        <v>530980</v>
      </c>
      <c r="J169" s="178">
        <v>1</v>
      </c>
    </row>
    <row r="170" spans="8:10">
      <c r="H170" s="146" t="s">
        <v>197</v>
      </c>
      <c r="I170" s="178">
        <v>948117.96</v>
      </c>
      <c r="J170" s="178">
        <v>2.5</v>
      </c>
    </row>
    <row r="171" spans="8:10">
      <c r="H171" s="146" t="s">
        <v>198</v>
      </c>
      <c r="I171" s="178">
        <v>195237.34</v>
      </c>
      <c r="J171" s="178">
        <v>0.5</v>
      </c>
    </row>
    <row r="172" spans="8:10">
      <c r="H172" s="146" t="s">
        <v>177</v>
      </c>
      <c r="I172" s="178">
        <v>186526.58</v>
      </c>
      <c r="J172" s="178">
        <v>0.5</v>
      </c>
    </row>
    <row r="173" spans="8:10">
      <c r="H173" s="146" t="s">
        <v>160</v>
      </c>
      <c r="I173" s="178">
        <v>571206.78</v>
      </c>
      <c r="J173" s="178">
        <v>1.5</v>
      </c>
    </row>
    <row r="174" spans="8:10">
      <c r="H174" s="146" t="s">
        <v>50</v>
      </c>
      <c r="I174" s="178">
        <v>382664.01</v>
      </c>
      <c r="J174" s="178">
        <v>1</v>
      </c>
    </row>
    <row r="175" spans="8:10">
      <c r="H175" s="146" t="s">
        <v>311</v>
      </c>
      <c r="I175" s="178">
        <v>1130666.9300000002</v>
      </c>
      <c r="J175" s="178">
        <v>3</v>
      </c>
    </row>
    <row r="176" spans="8:10">
      <c r="H176" s="146" t="s">
        <v>263</v>
      </c>
      <c r="I176" s="178">
        <v>892043.77</v>
      </c>
      <c r="J176" s="178">
        <v>2.5</v>
      </c>
    </row>
    <row r="177" spans="8:10">
      <c r="H177" s="146" t="s">
        <v>239</v>
      </c>
      <c r="I177" s="178">
        <v>526556.75</v>
      </c>
      <c r="J177" s="178">
        <v>1</v>
      </c>
    </row>
    <row r="178" spans="8:10">
      <c r="H178" s="146" t="s">
        <v>313</v>
      </c>
      <c r="I178" s="178">
        <v>995541.75</v>
      </c>
      <c r="J178" s="178">
        <v>2.5</v>
      </c>
    </row>
    <row r="179" spans="8:10">
      <c r="H179" s="146" t="s">
        <v>200</v>
      </c>
      <c r="I179" s="178">
        <v>215500</v>
      </c>
      <c r="J179" s="178">
        <v>1</v>
      </c>
    </row>
    <row r="180" spans="8:10">
      <c r="H180" s="146" t="s">
        <v>72</v>
      </c>
      <c r="I180" s="178">
        <v>635950</v>
      </c>
      <c r="J180" s="178">
        <v>1</v>
      </c>
    </row>
    <row r="181" spans="8:10">
      <c r="H181" s="146" t="s">
        <v>44</v>
      </c>
      <c r="I181" s="178">
        <v>1222374.4100000001</v>
      </c>
      <c r="J181" s="178">
        <v>3</v>
      </c>
    </row>
    <row r="182" spans="8:10">
      <c r="H182" s="146" t="s">
        <v>150</v>
      </c>
      <c r="I182" s="178">
        <v>1557110.5</v>
      </c>
      <c r="J182" s="178">
        <v>4</v>
      </c>
    </row>
    <row r="183" spans="8:10">
      <c r="H183" s="146" t="s">
        <v>34</v>
      </c>
      <c r="I183" s="178">
        <v>1275865.44</v>
      </c>
      <c r="J183" s="178">
        <v>2</v>
      </c>
    </row>
    <row r="184" spans="8:10">
      <c r="H184" s="146" t="s">
        <v>84</v>
      </c>
      <c r="I184" s="178">
        <v>502035.15</v>
      </c>
      <c r="J184" s="178">
        <v>1</v>
      </c>
    </row>
    <row r="185" spans="8:10">
      <c r="H185" s="146" t="s">
        <v>163</v>
      </c>
      <c r="I185" s="178">
        <v>721550</v>
      </c>
      <c r="J185" s="178">
        <v>2</v>
      </c>
    </row>
    <row r="186" spans="8:10">
      <c r="H186" s="147">
        <v>6</v>
      </c>
      <c r="I186" s="178">
        <v>39931728.980000004</v>
      </c>
      <c r="J186" s="178">
        <v>80.5</v>
      </c>
    </row>
    <row r="187" spans="8:10">
      <c r="H187" s="146" t="s">
        <v>282</v>
      </c>
      <c r="I187" s="178">
        <v>2278155.8199999998</v>
      </c>
      <c r="J187" s="178">
        <v>5</v>
      </c>
    </row>
    <row r="188" spans="8:10">
      <c r="H188" s="146" t="s">
        <v>281</v>
      </c>
      <c r="I188" s="178">
        <v>1141565.43</v>
      </c>
      <c r="J188" s="178">
        <v>2</v>
      </c>
    </row>
    <row r="189" spans="8:10">
      <c r="H189" s="146" t="s">
        <v>170</v>
      </c>
      <c r="I189" s="178">
        <v>181609.12</v>
      </c>
      <c r="J189" s="178">
        <v>0.5</v>
      </c>
    </row>
    <row r="190" spans="8:10">
      <c r="H190" s="146" t="s">
        <v>152</v>
      </c>
      <c r="I190" s="178">
        <v>204200</v>
      </c>
      <c r="J190" s="178">
        <v>0.5</v>
      </c>
    </row>
    <row r="191" spans="8:10">
      <c r="H191" s="146" t="s">
        <v>179</v>
      </c>
      <c r="I191" s="178">
        <v>381400</v>
      </c>
      <c r="J191" s="178">
        <v>1</v>
      </c>
    </row>
    <row r="192" spans="8:10">
      <c r="H192" s="146" t="s">
        <v>218</v>
      </c>
      <c r="I192" s="178">
        <v>465000</v>
      </c>
      <c r="J192" s="178">
        <v>1</v>
      </c>
    </row>
    <row r="193" spans="8:10">
      <c r="H193" s="146" t="s">
        <v>295</v>
      </c>
      <c r="I193" s="178">
        <v>1262713.9300000002</v>
      </c>
      <c r="J193" s="178">
        <v>3</v>
      </c>
    </row>
    <row r="194" spans="8:10">
      <c r="H194" s="146" t="s">
        <v>87</v>
      </c>
      <c r="I194" s="178">
        <v>370300</v>
      </c>
      <c r="J194" s="178">
        <v>1</v>
      </c>
    </row>
    <row r="195" spans="8:10">
      <c r="H195" s="146" t="s">
        <v>206</v>
      </c>
      <c r="I195" s="178">
        <v>1032985.4299999999</v>
      </c>
      <c r="J195" s="178">
        <v>2</v>
      </c>
    </row>
    <row r="196" spans="8:10">
      <c r="H196" s="146" t="s">
        <v>207</v>
      </c>
      <c r="I196" s="178">
        <v>220825</v>
      </c>
      <c r="J196" s="178">
        <v>0.5</v>
      </c>
    </row>
    <row r="197" spans="8:10">
      <c r="H197" s="146" t="s">
        <v>283</v>
      </c>
      <c r="I197" s="178">
        <v>828669.23</v>
      </c>
      <c r="J197" s="178">
        <v>2</v>
      </c>
    </row>
    <row r="198" spans="8:10">
      <c r="H198" s="146" t="s">
        <v>285</v>
      </c>
      <c r="I198" s="178">
        <v>225312.27</v>
      </c>
      <c r="J198" s="178">
        <v>0.5</v>
      </c>
    </row>
    <row r="199" spans="8:10">
      <c r="H199" s="146" t="s">
        <v>287</v>
      </c>
      <c r="I199" s="178">
        <v>380283.15</v>
      </c>
      <c r="J199" s="178">
        <v>1</v>
      </c>
    </row>
    <row r="200" spans="8:10">
      <c r="H200" s="146" t="s">
        <v>49</v>
      </c>
      <c r="I200" s="178">
        <v>814098.48</v>
      </c>
      <c r="J200" s="178">
        <v>2</v>
      </c>
    </row>
    <row r="201" spans="8:10">
      <c r="H201" s="146" t="s">
        <v>70</v>
      </c>
      <c r="I201" s="178">
        <v>2050000</v>
      </c>
      <c r="J201" s="178">
        <v>1</v>
      </c>
    </row>
    <row r="202" spans="8:10">
      <c r="H202" s="146" t="s">
        <v>274</v>
      </c>
      <c r="I202" s="178">
        <v>1295782.5</v>
      </c>
      <c r="J202" s="178">
        <v>3</v>
      </c>
    </row>
    <row r="203" spans="8:10">
      <c r="H203" s="146" t="s">
        <v>268</v>
      </c>
      <c r="I203" s="178">
        <v>568250</v>
      </c>
      <c r="J203" s="178">
        <v>0.25</v>
      </c>
    </row>
    <row r="204" spans="8:10">
      <c r="H204" s="146" t="s">
        <v>65</v>
      </c>
      <c r="I204" s="178">
        <v>242141.02</v>
      </c>
      <c r="J204" s="178">
        <v>1</v>
      </c>
    </row>
    <row r="205" spans="8:10">
      <c r="H205" s="146" t="s">
        <v>67</v>
      </c>
      <c r="I205" s="178">
        <v>237274.3</v>
      </c>
      <c r="J205" s="178">
        <v>0.5</v>
      </c>
    </row>
    <row r="206" spans="8:10">
      <c r="H206" s="146" t="s">
        <v>62</v>
      </c>
      <c r="I206" s="178">
        <v>311241.55</v>
      </c>
      <c r="J206" s="178">
        <v>1</v>
      </c>
    </row>
    <row r="207" spans="8:10">
      <c r="H207" s="146" t="s">
        <v>291</v>
      </c>
      <c r="I207" s="178">
        <v>375702</v>
      </c>
      <c r="J207" s="178">
        <v>1</v>
      </c>
    </row>
    <row r="208" spans="8:10">
      <c r="H208" s="146" t="s">
        <v>307</v>
      </c>
      <c r="I208" s="178">
        <v>1197291.21</v>
      </c>
      <c r="J208" s="178">
        <v>2</v>
      </c>
    </row>
    <row r="209" spans="8:10">
      <c r="H209" s="146" t="s">
        <v>276</v>
      </c>
      <c r="I209" s="178">
        <v>530824.75</v>
      </c>
      <c r="J209" s="178">
        <v>1</v>
      </c>
    </row>
    <row r="210" spans="8:10">
      <c r="H210" s="146" t="s">
        <v>168</v>
      </c>
      <c r="I210" s="178">
        <v>181609.12</v>
      </c>
      <c r="J210" s="178">
        <v>0.5</v>
      </c>
    </row>
    <row r="211" spans="8:10">
      <c r="H211" s="146" t="s">
        <v>292</v>
      </c>
      <c r="I211" s="178">
        <v>967703.23999999987</v>
      </c>
      <c r="J211" s="178">
        <v>3.5</v>
      </c>
    </row>
    <row r="212" spans="8:10">
      <c r="H212" s="146" t="s">
        <v>59</v>
      </c>
      <c r="I212" s="178">
        <v>1115534.8400000001</v>
      </c>
      <c r="J212" s="178">
        <v>2</v>
      </c>
    </row>
    <row r="213" spans="8:10">
      <c r="H213" s="146" t="s">
        <v>296</v>
      </c>
      <c r="I213" s="178">
        <v>197902.58</v>
      </c>
      <c r="J213" s="178">
        <v>0.5</v>
      </c>
    </row>
    <row r="214" spans="8:10">
      <c r="H214" s="146" t="s">
        <v>77</v>
      </c>
      <c r="I214" s="178">
        <v>727693.86</v>
      </c>
      <c r="J214" s="178">
        <v>1.5</v>
      </c>
    </row>
    <row r="215" spans="8:10">
      <c r="H215" s="146" t="s">
        <v>55</v>
      </c>
      <c r="I215" s="178">
        <v>1031899.4099999999</v>
      </c>
      <c r="J215" s="178">
        <v>2</v>
      </c>
    </row>
    <row r="216" spans="8:10">
      <c r="H216" s="146" t="s">
        <v>266</v>
      </c>
      <c r="I216" s="178">
        <v>1024841</v>
      </c>
      <c r="J216" s="178">
        <v>2</v>
      </c>
    </row>
    <row r="217" spans="8:10">
      <c r="H217" s="146" t="s">
        <v>304</v>
      </c>
      <c r="I217" s="178">
        <v>633914.91</v>
      </c>
      <c r="J217" s="178">
        <v>1</v>
      </c>
    </row>
    <row r="218" spans="8:10">
      <c r="H218" s="146" t="s">
        <v>180</v>
      </c>
      <c r="I218" s="178">
        <v>204200</v>
      </c>
      <c r="J218" s="178">
        <v>0.5</v>
      </c>
    </row>
    <row r="219" spans="8:10">
      <c r="H219" s="146" t="s">
        <v>302</v>
      </c>
      <c r="I219" s="178">
        <v>1480897.48</v>
      </c>
      <c r="J219" s="178">
        <v>4</v>
      </c>
    </row>
    <row r="220" spans="8:10">
      <c r="H220" s="146" t="s">
        <v>297</v>
      </c>
      <c r="I220" s="178">
        <v>646529.66</v>
      </c>
      <c r="J220" s="178">
        <v>1</v>
      </c>
    </row>
    <row r="221" spans="8:10">
      <c r="H221" s="146" t="s">
        <v>78</v>
      </c>
      <c r="I221" s="178">
        <v>948518.86</v>
      </c>
      <c r="J221" s="178">
        <v>2</v>
      </c>
    </row>
    <row r="222" spans="8:10">
      <c r="H222" s="146" t="s">
        <v>104</v>
      </c>
      <c r="I222" s="178">
        <v>237274.3</v>
      </c>
      <c r="J222" s="178">
        <v>0.5</v>
      </c>
    </row>
    <row r="223" spans="8:10">
      <c r="H223" s="146" t="s">
        <v>279</v>
      </c>
      <c r="I223" s="178">
        <v>638796</v>
      </c>
      <c r="J223" s="178">
        <v>1</v>
      </c>
    </row>
    <row r="224" spans="8:10">
      <c r="H224" s="146" t="s">
        <v>196</v>
      </c>
      <c r="I224" s="178">
        <v>243425</v>
      </c>
      <c r="J224" s="178">
        <v>0.5</v>
      </c>
    </row>
    <row r="225" spans="8:10">
      <c r="H225" s="146" t="s">
        <v>289</v>
      </c>
      <c r="I225" s="178">
        <v>380283.15</v>
      </c>
      <c r="J225" s="178">
        <v>1</v>
      </c>
    </row>
    <row r="226" spans="8:10">
      <c r="H226" s="146" t="s">
        <v>19</v>
      </c>
      <c r="I226" s="178">
        <v>604850</v>
      </c>
      <c r="J226" s="178">
        <v>1</v>
      </c>
    </row>
    <row r="227" spans="8:10">
      <c r="H227" s="146" t="s">
        <v>267</v>
      </c>
      <c r="I227" s="178">
        <v>568250</v>
      </c>
      <c r="J227" s="178">
        <v>0.25</v>
      </c>
    </row>
    <row r="228" spans="8:10">
      <c r="H228" s="146" t="s">
        <v>277</v>
      </c>
      <c r="I228" s="178">
        <v>864871.79</v>
      </c>
      <c r="J228" s="178">
        <v>2</v>
      </c>
    </row>
    <row r="229" spans="8:10">
      <c r="H229" s="146" t="s">
        <v>43</v>
      </c>
      <c r="I229" s="178">
        <v>630000</v>
      </c>
      <c r="J229" s="178">
        <v>1</v>
      </c>
    </row>
    <row r="230" spans="8:10">
      <c r="H230" s="146" t="s">
        <v>253</v>
      </c>
      <c r="I230" s="178">
        <v>333514.5</v>
      </c>
      <c r="J230" s="178">
        <v>1</v>
      </c>
    </row>
    <row r="231" spans="8:10">
      <c r="H231" s="146" t="s">
        <v>280</v>
      </c>
      <c r="I231" s="178">
        <v>331050</v>
      </c>
      <c r="J231" s="178">
        <v>1</v>
      </c>
    </row>
    <row r="232" spans="8:10">
      <c r="H232" s="146" t="s">
        <v>63</v>
      </c>
      <c r="I232" s="178">
        <v>567985.42999999993</v>
      </c>
      <c r="J232" s="178">
        <v>1</v>
      </c>
    </row>
    <row r="233" spans="8:10">
      <c r="H233" s="146" t="s">
        <v>275</v>
      </c>
      <c r="I233" s="178">
        <v>384015</v>
      </c>
      <c r="J233" s="178">
        <v>1</v>
      </c>
    </row>
    <row r="234" spans="8:10">
      <c r="H234" s="146" t="s">
        <v>237</v>
      </c>
      <c r="I234" s="178">
        <v>645213.53</v>
      </c>
      <c r="J234" s="178">
        <v>1.5</v>
      </c>
    </row>
    <row r="235" spans="8:10">
      <c r="H235" s="146" t="s">
        <v>140</v>
      </c>
      <c r="I235" s="178">
        <v>311136</v>
      </c>
      <c r="J235" s="178">
        <v>1</v>
      </c>
    </row>
    <row r="236" spans="8:10">
      <c r="H236" s="146" t="s">
        <v>198</v>
      </c>
      <c r="I236" s="178">
        <v>753854.95</v>
      </c>
      <c r="J236" s="178">
        <v>2</v>
      </c>
    </row>
    <row r="237" spans="8:10">
      <c r="H237" s="146" t="s">
        <v>290</v>
      </c>
      <c r="I237" s="178">
        <v>1664863.15</v>
      </c>
      <c r="J237" s="178">
        <v>3.5</v>
      </c>
    </row>
    <row r="238" spans="8:10">
      <c r="H238" s="146" t="s">
        <v>311</v>
      </c>
      <c r="I238" s="178">
        <v>512328.88</v>
      </c>
      <c r="J238" s="178">
        <v>1</v>
      </c>
    </row>
    <row r="239" spans="8:10">
      <c r="H239" s="146" t="s">
        <v>263</v>
      </c>
      <c r="I239" s="178">
        <v>511460.85</v>
      </c>
      <c r="J239" s="178">
        <v>1</v>
      </c>
    </row>
    <row r="240" spans="8:10">
      <c r="H240" s="146" t="s">
        <v>286</v>
      </c>
      <c r="I240" s="178">
        <v>225312.27</v>
      </c>
      <c r="J240" s="178">
        <v>0.5</v>
      </c>
    </row>
    <row r="241" spans="8:10">
      <c r="H241" s="146" t="s">
        <v>239</v>
      </c>
      <c r="I241" s="178">
        <v>374700</v>
      </c>
      <c r="J241" s="178">
        <v>1</v>
      </c>
    </row>
    <row r="242" spans="8:10">
      <c r="H242" s="146" t="s">
        <v>262</v>
      </c>
      <c r="I242" s="178">
        <v>241840</v>
      </c>
      <c r="J242" s="178">
        <v>1</v>
      </c>
    </row>
    <row r="243" spans="8:10">
      <c r="H243" s="146" t="s">
        <v>34</v>
      </c>
      <c r="I243" s="178">
        <v>228000</v>
      </c>
      <c r="J243" s="178">
        <v>1</v>
      </c>
    </row>
    <row r="244" spans="8:10">
      <c r="H244" s="146" t="s">
        <v>52</v>
      </c>
      <c r="I244" s="178">
        <v>2300000</v>
      </c>
      <c r="J244" s="178">
        <v>1</v>
      </c>
    </row>
    <row r="245" spans="8:10">
      <c r="H245" s="146" t="s">
        <v>298</v>
      </c>
      <c r="I245" s="178">
        <v>222914.63</v>
      </c>
      <c r="J245" s="178">
        <v>0.5</v>
      </c>
    </row>
    <row r="246" spans="8:10">
      <c r="H246" s="146" t="s">
        <v>84</v>
      </c>
      <c r="I246" s="178">
        <v>398919.4</v>
      </c>
      <c r="J246" s="178">
        <v>1</v>
      </c>
    </row>
    <row r="247" spans="8:10">
      <c r="H247" s="147">
        <v>7</v>
      </c>
      <c r="I247" s="178">
        <v>19603932.910000004</v>
      </c>
      <c r="J247" s="178">
        <v>46.5</v>
      </c>
    </row>
    <row r="248" spans="8:10">
      <c r="H248" s="146" t="s">
        <v>282</v>
      </c>
      <c r="I248" s="178">
        <v>1108128</v>
      </c>
      <c r="J248" s="178">
        <v>2</v>
      </c>
    </row>
    <row r="249" spans="8:10">
      <c r="H249" s="146" t="s">
        <v>18</v>
      </c>
      <c r="I249" s="178">
        <v>186383</v>
      </c>
      <c r="J249" s="178">
        <v>1</v>
      </c>
    </row>
    <row r="250" spans="8:10">
      <c r="H250" s="146" t="s">
        <v>283</v>
      </c>
      <c r="I250" s="178">
        <v>655164.53</v>
      </c>
      <c r="J250" s="178">
        <v>1.5</v>
      </c>
    </row>
    <row r="251" spans="8:10">
      <c r="H251" s="146" t="s">
        <v>285</v>
      </c>
      <c r="I251" s="178">
        <v>195874.23</v>
      </c>
      <c r="J251" s="178">
        <v>0.5</v>
      </c>
    </row>
    <row r="252" spans="8:10">
      <c r="H252" s="146" t="s">
        <v>47</v>
      </c>
      <c r="I252" s="178">
        <v>1449100</v>
      </c>
      <c r="J252" s="178">
        <v>2</v>
      </c>
    </row>
    <row r="253" spans="8:10">
      <c r="H253" s="146" t="s">
        <v>62</v>
      </c>
      <c r="I253" s="178">
        <v>1346200</v>
      </c>
      <c r="J253" s="178">
        <v>3</v>
      </c>
    </row>
    <row r="254" spans="8:10">
      <c r="H254" s="146" t="s">
        <v>291</v>
      </c>
      <c r="I254" s="178">
        <v>790407.74</v>
      </c>
      <c r="J254" s="178">
        <v>2</v>
      </c>
    </row>
    <row r="255" spans="8:10">
      <c r="H255" s="146" t="s">
        <v>59</v>
      </c>
      <c r="I255" s="178">
        <v>378000</v>
      </c>
      <c r="J255" s="178">
        <v>1</v>
      </c>
    </row>
    <row r="256" spans="8:10">
      <c r="H256" s="146" t="s">
        <v>296</v>
      </c>
      <c r="I256" s="178">
        <v>125000</v>
      </c>
      <c r="J256" s="178">
        <v>0.5</v>
      </c>
    </row>
    <row r="257" spans="8:10">
      <c r="H257" s="146" t="s">
        <v>194</v>
      </c>
      <c r="I257" s="178">
        <v>543493</v>
      </c>
      <c r="J257" s="178">
        <v>1</v>
      </c>
    </row>
    <row r="258" spans="8:10">
      <c r="H258" s="146" t="s">
        <v>304</v>
      </c>
      <c r="I258" s="178">
        <v>803000</v>
      </c>
      <c r="J258" s="178">
        <v>1.5</v>
      </c>
    </row>
    <row r="259" spans="8:10">
      <c r="H259" s="146" t="s">
        <v>302</v>
      </c>
      <c r="I259" s="178">
        <v>1663908.58</v>
      </c>
      <c r="J259" s="178">
        <v>4.5</v>
      </c>
    </row>
    <row r="260" spans="8:10">
      <c r="H260" s="146" t="s">
        <v>196</v>
      </c>
      <c r="I260" s="178">
        <v>823678.64</v>
      </c>
      <c r="J260" s="178">
        <v>2</v>
      </c>
    </row>
    <row r="261" spans="8:10">
      <c r="H261" s="146" t="s">
        <v>19</v>
      </c>
      <c r="I261" s="178">
        <v>464324.31</v>
      </c>
      <c r="J261" s="178">
        <v>2</v>
      </c>
    </row>
    <row r="262" spans="8:10">
      <c r="H262" s="146" t="s">
        <v>147</v>
      </c>
      <c r="I262" s="178">
        <v>371619.29</v>
      </c>
      <c r="J262" s="178">
        <v>1</v>
      </c>
    </row>
    <row r="263" spans="8:10">
      <c r="H263" s="146" t="s">
        <v>309</v>
      </c>
      <c r="I263" s="178">
        <v>232037</v>
      </c>
      <c r="J263" s="178">
        <v>0.5</v>
      </c>
    </row>
    <row r="264" spans="8:10">
      <c r="H264" s="146" t="s">
        <v>63</v>
      </c>
      <c r="I264" s="178">
        <v>248655.5</v>
      </c>
      <c r="J264" s="178">
        <v>0.5</v>
      </c>
    </row>
    <row r="265" spans="8:10">
      <c r="H265" s="146" t="s">
        <v>257</v>
      </c>
      <c r="I265" s="178">
        <v>400010.92</v>
      </c>
      <c r="J265" s="178">
        <v>1</v>
      </c>
    </row>
    <row r="266" spans="8:10">
      <c r="H266" s="146" t="s">
        <v>237</v>
      </c>
      <c r="I266" s="178">
        <v>362037</v>
      </c>
      <c r="J266" s="178">
        <v>1</v>
      </c>
    </row>
    <row r="267" spans="8:10">
      <c r="H267" s="146" t="s">
        <v>197</v>
      </c>
      <c r="I267" s="178">
        <v>275138.71000000002</v>
      </c>
      <c r="J267" s="178">
        <v>1</v>
      </c>
    </row>
    <row r="268" spans="8:10">
      <c r="H268" s="146" t="s">
        <v>198</v>
      </c>
      <c r="I268" s="178">
        <v>1742004.63</v>
      </c>
      <c r="J268" s="178">
        <v>4</v>
      </c>
    </row>
    <row r="269" spans="8:10">
      <c r="H269" s="146" t="s">
        <v>311</v>
      </c>
      <c r="I269" s="178">
        <v>884800</v>
      </c>
      <c r="J269" s="178">
        <v>2</v>
      </c>
    </row>
    <row r="270" spans="8:10">
      <c r="H270" s="146" t="s">
        <v>263</v>
      </c>
      <c r="I270" s="178">
        <v>432000</v>
      </c>
      <c r="J270" s="178">
        <v>1</v>
      </c>
    </row>
    <row r="271" spans="8:10">
      <c r="H271" s="146" t="s">
        <v>286</v>
      </c>
      <c r="I271" s="178">
        <v>195874.23</v>
      </c>
      <c r="J271" s="178">
        <v>0.5</v>
      </c>
    </row>
    <row r="272" spans="8:10">
      <c r="H272" s="146" t="s">
        <v>330</v>
      </c>
      <c r="I272" s="178">
        <v>189100</v>
      </c>
      <c r="J272" s="178">
        <v>0.5</v>
      </c>
    </row>
    <row r="273" spans="8:10">
      <c r="H273" s="146" t="s">
        <v>331</v>
      </c>
      <c r="I273" s="178">
        <v>225000</v>
      </c>
      <c r="J273" s="178">
        <v>1</v>
      </c>
    </row>
    <row r="274" spans="8:10">
      <c r="H274" s="146" t="s">
        <v>332</v>
      </c>
      <c r="I274" s="178">
        <v>347100</v>
      </c>
      <c r="J274" s="178">
        <v>1</v>
      </c>
    </row>
    <row r="275" spans="8:10">
      <c r="H275" s="146" t="s">
        <v>333</v>
      </c>
      <c r="I275" s="178">
        <v>130000</v>
      </c>
      <c r="J275" s="178">
        <v>0.5</v>
      </c>
    </row>
    <row r="276" spans="8:10">
      <c r="H276" s="146" t="s">
        <v>334</v>
      </c>
      <c r="I276" s="178">
        <v>130000</v>
      </c>
      <c r="J276" s="178">
        <v>0.5</v>
      </c>
    </row>
    <row r="277" spans="8:10">
      <c r="H277" s="146" t="s">
        <v>335</v>
      </c>
      <c r="I277" s="178">
        <v>367120</v>
      </c>
      <c r="J277" s="178">
        <v>1</v>
      </c>
    </row>
    <row r="278" spans="8:10">
      <c r="H278" s="146" t="s">
        <v>336</v>
      </c>
      <c r="I278" s="178">
        <v>610231</v>
      </c>
      <c r="J278" s="178">
        <v>1</v>
      </c>
    </row>
    <row r="279" spans="8:10">
      <c r="H279" s="146" t="s">
        <v>366</v>
      </c>
      <c r="I279" s="178">
        <v>716903.35</v>
      </c>
      <c r="J279" s="178">
        <v>2</v>
      </c>
    </row>
    <row r="280" spans="8:10">
      <c r="H280" s="146" t="s">
        <v>367</v>
      </c>
      <c r="I280" s="178">
        <v>726639.25</v>
      </c>
      <c r="J280" s="178">
        <v>1</v>
      </c>
    </row>
    <row r="281" spans="8:10">
      <c r="H281" s="146" t="s">
        <v>369</v>
      </c>
      <c r="I281" s="178">
        <v>485000</v>
      </c>
      <c r="J281" s="178">
        <v>1</v>
      </c>
    </row>
    <row r="282" spans="8:10">
      <c r="H282" s="147">
        <v>8</v>
      </c>
      <c r="I282" s="178">
        <v>25780667.829999998</v>
      </c>
      <c r="J282" s="178">
        <v>53</v>
      </c>
    </row>
    <row r="283" spans="8:10">
      <c r="H283" s="146" t="s">
        <v>282</v>
      </c>
      <c r="I283" s="178">
        <v>1128740.25</v>
      </c>
      <c r="J283" s="178">
        <v>3</v>
      </c>
    </row>
    <row r="284" spans="8:10">
      <c r="H284" s="146" t="s">
        <v>18</v>
      </c>
      <c r="I284" s="178">
        <v>260482.38</v>
      </c>
      <c r="J284" s="178">
        <v>1</v>
      </c>
    </row>
    <row r="285" spans="8:10">
      <c r="H285" s="146" t="s">
        <v>179</v>
      </c>
      <c r="I285" s="178">
        <v>397849.67</v>
      </c>
      <c r="J285" s="178">
        <v>1</v>
      </c>
    </row>
    <row r="286" spans="8:10">
      <c r="H286" s="146" t="s">
        <v>17</v>
      </c>
      <c r="I286" s="178">
        <v>189625</v>
      </c>
      <c r="J286" s="178">
        <v>0.5</v>
      </c>
    </row>
    <row r="287" spans="8:10">
      <c r="H287" s="146" t="s">
        <v>295</v>
      </c>
      <c r="I287" s="178">
        <v>483500</v>
      </c>
      <c r="J287" s="178">
        <v>1</v>
      </c>
    </row>
    <row r="288" spans="8:10">
      <c r="H288" s="146" t="s">
        <v>87</v>
      </c>
      <c r="I288" s="178">
        <v>265300</v>
      </c>
      <c r="J288" s="178">
        <v>0.5</v>
      </c>
    </row>
    <row r="289" spans="8:10">
      <c r="H289" s="146" t="s">
        <v>206</v>
      </c>
      <c r="I289" s="178">
        <v>219650</v>
      </c>
      <c r="J289" s="178">
        <v>0.5</v>
      </c>
    </row>
    <row r="290" spans="8:10">
      <c r="H290" s="146" t="s">
        <v>41</v>
      </c>
      <c r="I290" s="178">
        <v>319600</v>
      </c>
      <c r="J290" s="178">
        <v>0.5</v>
      </c>
    </row>
    <row r="291" spans="8:10">
      <c r="H291" s="146" t="s">
        <v>37</v>
      </c>
      <c r="I291" s="178">
        <v>255000</v>
      </c>
      <c r="J291" s="178">
        <v>1</v>
      </c>
    </row>
    <row r="292" spans="8:10">
      <c r="H292" s="146" t="s">
        <v>274</v>
      </c>
      <c r="I292" s="178">
        <v>1580709.31</v>
      </c>
      <c r="J292" s="178">
        <v>3</v>
      </c>
    </row>
    <row r="293" spans="8:10">
      <c r="H293" s="146" t="s">
        <v>67</v>
      </c>
      <c r="I293" s="178">
        <v>337500</v>
      </c>
      <c r="J293" s="178">
        <v>1</v>
      </c>
    </row>
    <row r="294" spans="8:10">
      <c r="H294" s="146" t="s">
        <v>291</v>
      </c>
      <c r="I294" s="178">
        <v>555000</v>
      </c>
      <c r="J294" s="178">
        <v>1</v>
      </c>
    </row>
    <row r="295" spans="8:10">
      <c r="H295" s="146" t="s">
        <v>307</v>
      </c>
      <c r="I295" s="178">
        <v>876500</v>
      </c>
      <c r="J295" s="178">
        <v>2</v>
      </c>
    </row>
    <row r="296" spans="8:10">
      <c r="H296" s="146" t="s">
        <v>39</v>
      </c>
      <c r="I296" s="178">
        <v>261000</v>
      </c>
      <c r="J296" s="178">
        <v>1</v>
      </c>
    </row>
    <row r="297" spans="8:10">
      <c r="H297" s="146" t="s">
        <v>59</v>
      </c>
      <c r="I297" s="178">
        <v>381800</v>
      </c>
      <c r="J297" s="178">
        <v>1</v>
      </c>
    </row>
    <row r="298" spans="8:10">
      <c r="H298" s="146" t="s">
        <v>36</v>
      </c>
      <c r="I298" s="178">
        <v>1058100</v>
      </c>
      <c r="J298" s="178">
        <v>2</v>
      </c>
    </row>
    <row r="299" spans="8:10">
      <c r="H299" s="146" t="s">
        <v>77</v>
      </c>
      <c r="I299" s="178">
        <v>869052</v>
      </c>
      <c r="J299" s="178">
        <v>2</v>
      </c>
    </row>
    <row r="300" spans="8:10">
      <c r="H300" s="146" t="s">
        <v>302</v>
      </c>
      <c r="I300" s="178">
        <v>1404915.54</v>
      </c>
      <c r="J300" s="178">
        <v>3</v>
      </c>
    </row>
    <row r="301" spans="8:10">
      <c r="H301" s="146" t="s">
        <v>306</v>
      </c>
      <c r="I301" s="178">
        <v>450000</v>
      </c>
      <c r="J301" s="178">
        <v>1</v>
      </c>
    </row>
    <row r="302" spans="8:10">
      <c r="H302" s="146" t="s">
        <v>154</v>
      </c>
      <c r="I302" s="178">
        <v>417781</v>
      </c>
      <c r="J302" s="178">
        <v>1</v>
      </c>
    </row>
    <row r="303" spans="8:10">
      <c r="H303" s="146" t="s">
        <v>78</v>
      </c>
      <c r="I303" s="178">
        <v>623000</v>
      </c>
      <c r="J303" s="178">
        <v>1</v>
      </c>
    </row>
    <row r="304" spans="8:10">
      <c r="H304" s="146" t="s">
        <v>104</v>
      </c>
      <c r="I304" s="178">
        <v>576268.43000000005</v>
      </c>
      <c r="J304" s="178">
        <v>2</v>
      </c>
    </row>
    <row r="305" spans="8:10">
      <c r="H305" s="146" t="s">
        <v>42</v>
      </c>
      <c r="I305" s="178">
        <v>645250.33000000007</v>
      </c>
      <c r="J305" s="178">
        <v>1</v>
      </c>
    </row>
    <row r="306" spans="8:10">
      <c r="H306" s="146" t="s">
        <v>19</v>
      </c>
      <c r="I306" s="178">
        <v>450000</v>
      </c>
      <c r="J306" s="178">
        <v>2</v>
      </c>
    </row>
    <row r="307" spans="8:10">
      <c r="H307" s="146" t="s">
        <v>63</v>
      </c>
      <c r="I307" s="178">
        <v>219650</v>
      </c>
      <c r="J307" s="178">
        <v>0.5</v>
      </c>
    </row>
    <row r="308" spans="8:10">
      <c r="H308" s="146" t="s">
        <v>275</v>
      </c>
      <c r="I308" s="178">
        <v>490899.45</v>
      </c>
      <c r="J308" s="178">
        <v>1</v>
      </c>
    </row>
    <row r="309" spans="8:10">
      <c r="H309" s="146" t="s">
        <v>310</v>
      </c>
      <c r="I309" s="178">
        <v>406154.17</v>
      </c>
      <c r="J309" s="178">
        <v>1</v>
      </c>
    </row>
    <row r="310" spans="8:10">
      <c r="H310" s="146" t="s">
        <v>172</v>
      </c>
      <c r="I310" s="178">
        <v>645250.32999999996</v>
      </c>
      <c r="J310" s="178">
        <v>1</v>
      </c>
    </row>
    <row r="311" spans="8:10">
      <c r="H311" s="146" t="s">
        <v>197</v>
      </c>
      <c r="I311" s="178">
        <v>265300</v>
      </c>
      <c r="J311" s="178">
        <v>0.5</v>
      </c>
    </row>
    <row r="312" spans="8:10">
      <c r="H312" s="146" t="s">
        <v>290</v>
      </c>
      <c r="I312" s="178">
        <v>948964.6</v>
      </c>
      <c r="J312" s="178">
        <v>2</v>
      </c>
    </row>
    <row r="313" spans="8:10">
      <c r="H313" s="146" t="s">
        <v>311</v>
      </c>
      <c r="I313" s="178">
        <v>189625</v>
      </c>
      <c r="J313" s="178">
        <v>0.5</v>
      </c>
    </row>
    <row r="314" spans="8:10">
      <c r="H314" s="146" t="s">
        <v>312</v>
      </c>
      <c r="I314" s="178">
        <v>633439.62</v>
      </c>
      <c r="J314" s="178">
        <v>1</v>
      </c>
    </row>
    <row r="315" spans="8:10">
      <c r="H315" s="146" t="s">
        <v>313</v>
      </c>
      <c r="I315" s="178">
        <v>2375000</v>
      </c>
      <c r="J315" s="178">
        <v>1</v>
      </c>
    </row>
    <row r="316" spans="8:10">
      <c r="H316" s="146" t="s">
        <v>20</v>
      </c>
      <c r="I316" s="178">
        <v>319600</v>
      </c>
      <c r="J316" s="178">
        <v>0.5</v>
      </c>
    </row>
    <row r="317" spans="8:10">
      <c r="H317" s="146" t="s">
        <v>336</v>
      </c>
      <c r="I317" s="178">
        <v>553707</v>
      </c>
      <c r="J317" s="178">
        <v>1</v>
      </c>
    </row>
    <row r="318" spans="8:10">
      <c r="H318" s="146" t="s">
        <v>367</v>
      </c>
      <c r="I318" s="178">
        <v>860000</v>
      </c>
      <c r="J318" s="178">
        <v>1</v>
      </c>
    </row>
    <row r="319" spans="8:10">
      <c r="H319" s="146" t="s">
        <v>370</v>
      </c>
      <c r="I319" s="178">
        <v>452500</v>
      </c>
      <c r="J319" s="178">
        <v>1</v>
      </c>
    </row>
    <row r="320" spans="8:10">
      <c r="H320" s="146" t="s">
        <v>372</v>
      </c>
      <c r="I320" s="178">
        <v>400000</v>
      </c>
      <c r="J320" s="178">
        <v>1</v>
      </c>
    </row>
    <row r="321" spans="8:10">
      <c r="H321" s="146" t="s">
        <v>373</v>
      </c>
      <c r="I321" s="178">
        <v>518000</v>
      </c>
      <c r="J321" s="178">
        <v>1</v>
      </c>
    </row>
    <row r="322" spans="8:10">
      <c r="H322" s="146" t="s">
        <v>374</v>
      </c>
      <c r="I322" s="178">
        <v>523533.88</v>
      </c>
      <c r="J322" s="178">
        <v>1</v>
      </c>
    </row>
    <row r="323" spans="8:10">
      <c r="H323" s="146" t="s">
        <v>375</v>
      </c>
      <c r="I323" s="178">
        <v>495000</v>
      </c>
      <c r="J323" s="178">
        <v>2</v>
      </c>
    </row>
    <row r="324" spans="8:10">
      <c r="H324" s="146" t="s">
        <v>377</v>
      </c>
      <c r="I324" s="178">
        <v>641419.87</v>
      </c>
      <c r="J324" s="178">
        <v>1</v>
      </c>
    </row>
    <row r="325" spans="8:10">
      <c r="H325" s="146" t="s">
        <v>129</v>
      </c>
      <c r="I325" s="178">
        <v>400000</v>
      </c>
      <c r="J325" s="178">
        <v>1</v>
      </c>
    </row>
    <row r="326" spans="8:10">
      <c r="H326" s="146" t="s">
        <v>379</v>
      </c>
      <c r="I326" s="178">
        <v>436000</v>
      </c>
      <c r="J326" s="178">
        <v>1</v>
      </c>
    </row>
    <row r="327" spans="8:10">
      <c r="H327" s="147">
        <v>9</v>
      </c>
      <c r="I327" s="178">
        <v>11941253.139999999</v>
      </c>
      <c r="J327" s="178">
        <v>26</v>
      </c>
    </row>
    <row r="328" spans="8:10">
      <c r="H328" s="146" t="s">
        <v>282</v>
      </c>
      <c r="I328" s="178">
        <v>746000</v>
      </c>
      <c r="J328" s="178">
        <v>2</v>
      </c>
    </row>
    <row r="329" spans="8:10">
      <c r="H329" s="146" t="s">
        <v>18</v>
      </c>
      <c r="I329" s="178">
        <v>256500</v>
      </c>
      <c r="J329" s="178">
        <v>1</v>
      </c>
    </row>
    <row r="330" spans="8:10">
      <c r="H330" s="146" t="s">
        <v>62</v>
      </c>
      <c r="I330" s="178">
        <v>358073.52</v>
      </c>
      <c r="J330" s="178">
        <v>1</v>
      </c>
    </row>
    <row r="331" spans="8:10">
      <c r="H331" s="146" t="s">
        <v>307</v>
      </c>
      <c r="I331" s="178">
        <v>520000</v>
      </c>
      <c r="J331" s="178">
        <v>1</v>
      </c>
    </row>
    <row r="332" spans="8:10">
      <c r="H332" s="146" t="s">
        <v>40</v>
      </c>
      <c r="I332" s="178">
        <v>840000</v>
      </c>
      <c r="J332" s="178">
        <v>1</v>
      </c>
    </row>
    <row r="333" spans="8:10">
      <c r="H333" s="146" t="s">
        <v>148</v>
      </c>
      <c r="I333" s="178">
        <v>206945.2</v>
      </c>
      <c r="J333" s="178">
        <v>1</v>
      </c>
    </row>
    <row r="334" spans="8:10">
      <c r="H334" s="146" t="s">
        <v>55</v>
      </c>
      <c r="I334" s="178">
        <v>258930</v>
      </c>
      <c r="J334" s="178">
        <v>0.5</v>
      </c>
    </row>
    <row r="335" spans="8:10">
      <c r="H335" s="146" t="s">
        <v>304</v>
      </c>
      <c r="I335" s="178">
        <v>545648.89</v>
      </c>
      <c r="J335" s="178">
        <v>1</v>
      </c>
    </row>
    <row r="336" spans="8:10">
      <c r="H336" s="146" t="s">
        <v>302</v>
      </c>
      <c r="I336" s="178">
        <v>1306380</v>
      </c>
      <c r="J336" s="178">
        <v>3</v>
      </c>
    </row>
    <row r="337" spans="8:10">
      <c r="H337" s="146" t="s">
        <v>173</v>
      </c>
      <c r="I337" s="178">
        <v>2130000</v>
      </c>
      <c r="J337" s="178">
        <v>1</v>
      </c>
    </row>
    <row r="338" spans="8:10">
      <c r="H338" s="146" t="s">
        <v>48</v>
      </c>
      <c r="I338" s="178">
        <v>372100</v>
      </c>
      <c r="J338" s="178">
        <v>1</v>
      </c>
    </row>
    <row r="339" spans="8:10">
      <c r="H339" s="146" t="s">
        <v>196</v>
      </c>
      <c r="I339" s="178">
        <v>36296</v>
      </c>
      <c r="J339" s="178">
        <v>1</v>
      </c>
    </row>
    <row r="340" spans="8:10">
      <c r="H340" s="146" t="s">
        <v>19</v>
      </c>
      <c r="I340" s="178">
        <v>195000</v>
      </c>
      <c r="J340" s="178">
        <v>1</v>
      </c>
    </row>
    <row r="341" spans="8:10">
      <c r="H341" s="146" t="s">
        <v>235</v>
      </c>
      <c r="I341" s="178">
        <v>250000</v>
      </c>
      <c r="J341" s="178">
        <v>1</v>
      </c>
    </row>
    <row r="342" spans="8:10">
      <c r="H342" s="146" t="s">
        <v>253</v>
      </c>
      <c r="I342" s="178">
        <v>894950</v>
      </c>
      <c r="J342" s="178">
        <v>3</v>
      </c>
    </row>
    <row r="343" spans="8:10">
      <c r="H343" s="146" t="s">
        <v>197</v>
      </c>
      <c r="I343" s="178">
        <v>609100</v>
      </c>
      <c r="J343" s="178">
        <v>1</v>
      </c>
    </row>
    <row r="344" spans="8:10">
      <c r="H344" s="146" t="s">
        <v>286</v>
      </c>
      <c r="I344" s="178">
        <v>378800</v>
      </c>
      <c r="J344" s="178">
        <v>1</v>
      </c>
    </row>
    <row r="345" spans="8:10">
      <c r="H345" s="146" t="s">
        <v>262</v>
      </c>
      <c r="I345" s="178">
        <v>340000</v>
      </c>
      <c r="J345" s="178">
        <v>1</v>
      </c>
    </row>
    <row r="346" spans="8:10">
      <c r="H346" s="146" t="s">
        <v>44</v>
      </c>
      <c r="I346" s="178">
        <v>725973.53</v>
      </c>
      <c r="J346" s="178">
        <v>1</v>
      </c>
    </row>
    <row r="347" spans="8:10">
      <c r="H347" s="146" t="s">
        <v>381</v>
      </c>
      <c r="I347" s="178">
        <v>711626</v>
      </c>
      <c r="J347" s="178">
        <v>2</v>
      </c>
    </row>
    <row r="348" spans="8:10">
      <c r="H348" s="146" t="s">
        <v>383</v>
      </c>
      <c r="I348" s="178">
        <v>258930</v>
      </c>
      <c r="J348" s="178">
        <v>0.5</v>
      </c>
    </row>
    <row r="349" spans="8:10">
      <c r="H349" s="147">
        <v>10</v>
      </c>
      <c r="I349" s="178">
        <v>13806620.819999998</v>
      </c>
      <c r="J349" s="178">
        <v>28</v>
      </c>
    </row>
    <row r="350" spans="8:10">
      <c r="H350" s="146" t="s">
        <v>283</v>
      </c>
      <c r="I350" s="178">
        <v>200500</v>
      </c>
      <c r="J350" s="178">
        <v>0.5</v>
      </c>
    </row>
    <row r="351" spans="8:10">
      <c r="H351" s="146" t="s">
        <v>49</v>
      </c>
      <c r="I351" s="178">
        <v>295714.84000000003</v>
      </c>
      <c r="J351" s="178">
        <v>1</v>
      </c>
    </row>
    <row r="352" spans="8:10">
      <c r="H352" s="146" t="s">
        <v>37</v>
      </c>
      <c r="I352" s="178">
        <v>846182.17999999993</v>
      </c>
      <c r="J352" s="178">
        <v>3</v>
      </c>
    </row>
    <row r="353" spans="8:10">
      <c r="H353" s="146" t="s">
        <v>274</v>
      </c>
      <c r="I353" s="178">
        <v>606988.17000000004</v>
      </c>
      <c r="J353" s="178">
        <v>1.5</v>
      </c>
    </row>
    <row r="354" spans="8:10">
      <c r="H354" s="146" t="s">
        <v>65</v>
      </c>
      <c r="I354" s="178">
        <v>395330</v>
      </c>
      <c r="J354" s="178">
        <v>1</v>
      </c>
    </row>
    <row r="355" spans="8:10">
      <c r="H355" s="146" t="s">
        <v>36</v>
      </c>
      <c r="I355" s="178">
        <v>521780</v>
      </c>
      <c r="J355" s="178">
        <v>1</v>
      </c>
    </row>
    <row r="356" spans="8:10">
      <c r="H356" s="146" t="s">
        <v>148</v>
      </c>
      <c r="I356" s="178">
        <v>264600</v>
      </c>
      <c r="J356" s="178">
        <v>1</v>
      </c>
    </row>
    <row r="357" spans="8:10">
      <c r="H357" s="146" t="s">
        <v>304</v>
      </c>
      <c r="I357" s="178">
        <v>194452</v>
      </c>
      <c r="J357" s="178">
        <v>0.5</v>
      </c>
    </row>
    <row r="358" spans="8:10">
      <c r="H358" s="146" t="s">
        <v>302</v>
      </c>
      <c r="I358" s="178">
        <v>194452</v>
      </c>
      <c r="J358" s="178">
        <v>0.5</v>
      </c>
    </row>
    <row r="359" spans="8:10">
      <c r="H359" s="146" t="s">
        <v>196</v>
      </c>
      <c r="I359" s="178">
        <v>327700</v>
      </c>
      <c r="J359" s="178">
        <v>1</v>
      </c>
    </row>
    <row r="360" spans="8:10">
      <c r="H360" s="146" t="s">
        <v>19</v>
      </c>
      <c r="I360" s="178">
        <v>447000</v>
      </c>
      <c r="J360" s="178">
        <v>2</v>
      </c>
    </row>
    <row r="361" spans="8:10">
      <c r="H361" s="146" t="s">
        <v>235</v>
      </c>
      <c r="I361" s="178">
        <v>245088.18</v>
      </c>
      <c r="J361" s="178">
        <v>0.5</v>
      </c>
    </row>
    <row r="362" spans="8:10">
      <c r="H362" s="146" t="s">
        <v>309</v>
      </c>
      <c r="I362" s="178">
        <v>2573200</v>
      </c>
      <c r="J362" s="178">
        <v>2</v>
      </c>
    </row>
    <row r="363" spans="8:10">
      <c r="H363" s="146" t="s">
        <v>43</v>
      </c>
      <c r="I363" s="178">
        <v>539100</v>
      </c>
      <c r="J363" s="178">
        <v>2</v>
      </c>
    </row>
    <row r="364" spans="8:10">
      <c r="H364" s="146" t="s">
        <v>280</v>
      </c>
      <c r="I364" s="178">
        <v>506811.9</v>
      </c>
      <c r="J364" s="178">
        <v>1</v>
      </c>
    </row>
    <row r="365" spans="8:10">
      <c r="H365" s="146" t="s">
        <v>275</v>
      </c>
      <c r="I365" s="178">
        <v>200500</v>
      </c>
      <c r="J365" s="178">
        <v>0.5</v>
      </c>
    </row>
    <row r="366" spans="8:10">
      <c r="H366" s="146" t="s">
        <v>310</v>
      </c>
      <c r="I366" s="178">
        <v>615000</v>
      </c>
      <c r="J366" s="178">
        <v>1</v>
      </c>
    </row>
    <row r="367" spans="8:10">
      <c r="H367" s="146" t="s">
        <v>333</v>
      </c>
      <c r="I367" s="178">
        <v>242428.34</v>
      </c>
      <c r="J367" s="178">
        <v>1</v>
      </c>
    </row>
    <row r="368" spans="8:10">
      <c r="H368" s="146" t="s">
        <v>381</v>
      </c>
      <c r="I368" s="178">
        <v>376480</v>
      </c>
      <c r="J368" s="178">
        <v>1</v>
      </c>
    </row>
    <row r="369" spans="8:10">
      <c r="H369" s="146" t="s">
        <v>384</v>
      </c>
      <c r="I369" s="178">
        <v>246600</v>
      </c>
      <c r="J369" s="178">
        <v>1</v>
      </c>
    </row>
    <row r="370" spans="8:10">
      <c r="H370" s="146" t="s">
        <v>456</v>
      </c>
      <c r="I370" s="178">
        <v>888111.76</v>
      </c>
      <c r="J370" s="178">
        <v>2</v>
      </c>
    </row>
    <row r="371" spans="8:10">
      <c r="H371" s="146" t="s">
        <v>459</v>
      </c>
      <c r="I371" s="178">
        <v>443277.5</v>
      </c>
      <c r="J371" s="178">
        <v>1</v>
      </c>
    </row>
    <row r="372" spans="8:10">
      <c r="H372" s="146" t="s">
        <v>461</v>
      </c>
      <c r="I372" s="178">
        <v>2379000</v>
      </c>
      <c r="J372" s="178">
        <v>1</v>
      </c>
    </row>
    <row r="373" spans="8:10">
      <c r="H373" s="146" t="s">
        <v>462</v>
      </c>
      <c r="I373" s="178">
        <v>256323.95</v>
      </c>
      <c r="J373" s="178">
        <v>1</v>
      </c>
    </row>
    <row r="374" spans="8:10">
      <c r="H374" s="147">
        <v>11</v>
      </c>
      <c r="I374" s="178">
        <v>64765991.299999997</v>
      </c>
      <c r="J374" s="178">
        <v>199</v>
      </c>
    </row>
    <row r="375" spans="8:10">
      <c r="H375" s="146" t="s">
        <v>18</v>
      </c>
      <c r="I375" s="178">
        <v>826422</v>
      </c>
      <c r="J375" s="178">
        <v>3</v>
      </c>
    </row>
    <row r="376" spans="8:10">
      <c r="H376" s="146" t="s">
        <v>281</v>
      </c>
      <c r="I376" s="178">
        <v>520892.08999999997</v>
      </c>
      <c r="J376" s="178">
        <v>2</v>
      </c>
    </row>
    <row r="377" spans="8:10">
      <c r="H377" s="146" t="s">
        <v>179</v>
      </c>
      <c r="I377" s="178">
        <v>517983.5</v>
      </c>
      <c r="J377" s="178">
        <v>1.5</v>
      </c>
    </row>
    <row r="378" spans="8:10">
      <c r="H378" s="146" t="s">
        <v>17</v>
      </c>
      <c r="I378" s="178">
        <v>539646</v>
      </c>
      <c r="J378" s="178">
        <v>2</v>
      </c>
    </row>
    <row r="379" spans="8:10">
      <c r="H379" s="146" t="s">
        <v>295</v>
      </c>
      <c r="I379" s="178">
        <v>821781.62</v>
      </c>
      <c r="J379" s="178">
        <v>1.5</v>
      </c>
    </row>
    <row r="380" spans="8:10">
      <c r="H380" s="146" t="s">
        <v>87</v>
      </c>
      <c r="I380" s="178">
        <v>1860768.14</v>
      </c>
      <c r="J380" s="178">
        <v>6.5</v>
      </c>
    </row>
    <row r="381" spans="8:10">
      <c r="H381" s="146" t="s">
        <v>41</v>
      </c>
      <c r="I381" s="178">
        <v>485210.27999999997</v>
      </c>
      <c r="J381" s="178">
        <v>2</v>
      </c>
    </row>
    <row r="382" spans="8:10">
      <c r="H382" s="146" t="s">
        <v>285</v>
      </c>
      <c r="I382" s="178">
        <v>185975.77</v>
      </c>
      <c r="J382" s="178">
        <v>0.5</v>
      </c>
    </row>
    <row r="383" spans="8:10">
      <c r="H383" s="146" t="s">
        <v>37</v>
      </c>
      <c r="I383" s="178">
        <v>128727.32</v>
      </c>
      <c r="J383" s="178">
        <v>0.5</v>
      </c>
    </row>
    <row r="384" spans="8:10">
      <c r="H384" s="146" t="s">
        <v>268</v>
      </c>
      <c r="I384" s="178">
        <v>356546.08999999997</v>
      </c>
      <c r="J384" s="178">
        <v>1</v>
      </c>
    </row>
    <row r="385" spans="8:10">
      <c r="H385" s="146" t="s">
        <v>65</v>
      </c>
      <c r="I385" s="178">
        <v>108675</v>
      </c>
      <c r="J385" s="178">
        <v>0.5</v>
      </c>
    </row>
    <row r="386" spans="8:10">
      <c r="H386" s="146" t="s">
        <v>162</v>
      </c>
      <c r="I386" s="178">
        <v>256091</v>
      </c>
      <c r="J386" s="178">
        <v>1</v>
      </c>
    </row>
    <row r="387" spans="8:10">
      <c r="H387" s="146" t="s">
        <v>224</v>
      </c>
      <c r="I387" s="178">
        <v>652794.36</v>
      </c>
      <c r="J387" s="178">
        <v>2.5</v>
      </c>
    </row>
    <row r="388" spans="8:10">
      <c r="H388" s="146" t="s">
        <v>47</v>
      </c>
      <c r="I388" s="178">
        <v>1229826.3199999998</v>
      </c>
      <c r="J388" s="178">
        <v>3</v>
      </c>
    </row>
    <row r="389" spans="8:10">
      <c r="H389" s="146" t="s">
        <v>62</v>
      </c>
      <c r="I389" s="178">
        <v>909905.62000000011</v>
      </c>
      <c r="J389" s="178">
        <v>3.5</v>
      </c>
    </row>
    <row r="390" spans="8:10">
      <c r="H390" s="146" t="s">
        <v>291</v>
      </c>
      <c r="I390" s="178">
        <v>855000</v>
      </c>
      <c r="J390" s="178">
        <v>2</v>
      </c>
    </row>
    <row r="391" spans="8:10">
      <c r="H391" s="146" t="s">
        <v>307</v>
      </c>
      <c r="I391" s="178">
        <v>978800</v>
      </c>
      <c r="J391" s="178">
        <v>2</v>
      </c>
    </row>
    <row r="392" spans="8:10">
      <c r="H392" s="146" t="s">
        <v>308</v>
      </c>
      <c r="I392" s="178">
        <v>1132500</v>
      </c>
      <c r="J392" s="178">
        <v>3</v>
      </c>
    </row>
    <row r="393" spans="8:10">
      <c r="H393" s="146" t="s">
        <v>39</v>
      </c>
      <c r="I393" s="178">
        <v>1720918.46</v>
      </c>
      <c r="J393" s="178">
        <v>5.5</v>
      </c>
    </row>
    <row r="394" spans="8:10">
      <c r="H394" s="146" t="s">
        <v>36</v>
      </c>
      <c r="I394" s="178">
        <v>703799.9</v>
      </c>
      <c r="J394" s="178">
        <v>1</v>
      </c>
    </row>
    <row r="395" spans="8:10">
      <c r="H395" s="146" t="s">
        <v>194</v>
      </c>
      <c r="I395" s="178">
        <v>134070.625</v>
      </c>
      <c r="J395" s="178">
        <v>0.5</v>
      </c>
    </row>
    <row r="396" spans="8:10">
      <c r="H396" s="146" t="s">
        <v>148</v>
      </c>
      <c r="I396" s="178">
        <v>824000</v>
      </c>
      <c r="J396" s="178">
        <v>3.5</v>
      </c>
    </row>
    <row r="397" spans="8:10">
      <c r="H397" s="146" t="s">
        <v>77</v>
      </c>
      <c r="I397" s="178">
        <v>863000</v>
      </c>
      <c r="J397" s="178">
        <v>2</v>
      </c>
    </row>
    <row r="398" spans="8:10">
      <c r="H398" s="146" t="s">
        <v>55</v>
      </c>
      <c r="I398" s="178">
        <v>273550</v>
      </c>
      <c r="J398" s="178">
        <v>0.5</v>
      </c>
    </row>
    <row r="399" spans="8:10">
      <c r="H399" s="146" t="s">
        <v>304</v>
      </c>
      <c r="I399" s="178">
        <v>394000</v>
      </c>
      <c r="J399" s="178">
        <v>1</v>
      </c>
    </row>
    <row r="400" spans="8:10">
      <c r="H400" s="146" t="s">
        <v>302</v>
      </c>
      <c r="I400" s="178">
        <v>1693848.07</v>
      </c>
      <c r="J400" s="178">
        <v>3.5</v>
      </c>
    </row>
    <row r="401" spans="8:10">
      <c r="H401" s="146" t="s">
        <v>78</v>
      </c>
      <c r="I401" s="178">
        <v>124353.5</v>
      </c>
      <c r="J401" s="178">
        <v>0.5</v>
      </c>
    </row>
    <row r="402" spans="8:10">
      <c r="H402" s="146" t="s">
        <v>104</v>
      </c>
      <c r="I402" s="178">
        <v>522118.14</v>
      </c>
      <c r="J402" s="178">
        <v>1.5</v>
      </c>
    </row>
    <row r="403" spans="8:10">
      <c r="H403" s="146" t="s">
        <v>66</v>
      </c>
      <c r="I403" s="178">
        <v>550987.13</v>
      </c>
      <c r="J403" s="178">
        <v>2</v>
      </c>
    </row>
    <row r="404" spans="8:10">
      <c r="H404" s="146" t="s">
        <v>42</v>
      </c>
      <c r="I404" s="178">
        <v>610559.74</v>
      </c>
      <c r="J404" s="178">
        <v>2.5</v>
      </c>
    </row>
    <row r="405" spans="8:10">
      <c r="H405" s="146" t="s">
        <v>173</v>
      </c>
      <c r="I405" s="178">
        <v>352750</v>
      </c>
      <c r="J405" s="178">
        <v>1</v>
      </c>
    </row>
    <row r="406" spans="8:10">
      <c r="H406" s="146" t="s">
        <v>48</v>
      </c>
      <c r="I406" s="178">
        <v>267643.14</v>
      </c>
      <c r="J406" s="178">
        <v>1</v>
      </c>
    </row>
    <row r="407" spans="8:10">
      <c r="H407" s="146" t="s">
        <v>196</v>
      </c>
      <c r="I407" s="178">
        <v>1424572.08</v>
      </c>
      <c r="J407" s="178">
        <v>5.5</v>
      </c>
    </row>
    <row r="408" spans="8:10">
      <c r="H408" s="146" t="s">
        <v>56</v>
      </c>
      <c r="I408" s="178">
        <v>1393600</v>
      </c>
      <c r="J408" s="178">
        <v>5</v>
      </c>
    </row>
    <row r="409" spans="8:10">
      <c r="H409" s="146" t="s">
        <v>19</v>
      </c>
      <c r="I409" s="178">
        <v>316000</v>
      </c>
      <c r="J409" s="178">
        <v>1.5</v>
      </c>
    </row>
    <row r="410" spans="8:10">
      <c r="H410" s="146" t="s">
        <v>235</v>
      </c>
      <c r="I410" s="178">
        <v>716309.23</v>
      </c>
      <c r="J410" s="178">
        <v>1</v>
      </c>
    </row>
    <row r="411" spans="8:10">
      <c r="H411" s="146" t="s">
        <v>267</v>
      </c>
      <c r="I411" s="178">
        <v>612637.09</v>
      </c>
      <c r="J411" s="178">
        <v>2</v>
      </c>
    </row>
    <row r="412" spans="8:10">
      <c r="H412" s="146" t="s">
        <v>147</v>
      </c>
      <c r="I412" s="178">
        <v>326239.5</v>
      </c>
      <c r="J412" s="178">
        <v>0.5</v>
      </c>
    </row>
    <row r="413" spans="8:10">
      <c r="H413" s="146" t="s">
        <v>309</v>
      </c>
      <c r="I413" s="178">
        <v>2917076.5</v>
      </c>
      <c r="J413" s="178">
        <v>7.5</v>
      </c>
    </row>
    <row r="414" spans="8:10">
      <c r="H414" s="146" t="s">
        <v>43</v>
      </c>
      <c r="I414" s="178">
        <v>36875</v>
      </c>
      <c r="J414" s="178">
        <v>1</v>
      </c>
    </row>
    <row r="415" spans="8:10">
      <c r="H415" s="146" t="s">
        <v>22</v>
      </c>
      <c r="I415" s="178">
        <v>954916.54</v>
      </c>
      <c r="J415" s="178">
        <v>2.5</v>
      </c>
    </row>
    <row r="416" spans="8:10">
      <c r="H416" s="146" t="s">
        <v>280</v>
      </c>
      <c r="I416" s="178">
        <v>260582.55</v>
      </c>
      <c r="J416" s="178">
        <v>1</v>
      </c>
    </row>
    <row r="417" spans="8:10">
      <c r="H417" s="146" t="s">
        <v>310</v>
      </c>
      <c r="I417" s="178">
        <v>765000</v>
      </c>
      <c r="J417" s="178">
        <v>2</v>
      </c>
    </row>
    <row r="418" spans="8:10">
      <c r="H418" s="146" t="s">
        <v>172</v>
      </c>
      <c r="I418" s="178">
        <v>2112036.79</v>
      </c>
      <c r="J418" s="178">
        <v>8</v>
      </c>
    </row>
    <row r="419" spans="8:10">
      <c r="H419" s="146" t="s">
        <v>237</v>
      </c>
      <c r="I419" s="178">
        <v>390045.45</v>
      </c>
      <c r="J419" s="178">
        <v>1.5</v>
      </c>
    </row>
    <row r="420" spans="8:10">
      <c r="H420" s="146" t="s">
        <v>140</v>
      </c>
      <c r="I420" s="178">
        <v>491048.995</v>
      </c>
      <c r="J420" s="178">
        <v>1.5</v>
      </c>
    </row>
    <row r="421" spans="8:10">
      <c r="H421" s="146" t="s">
        <v>197</v>
      </c>
      <c r="I421" s="178">
        <v>1200301.33</v>
      </c>
      <c r="J421" s="178">
        <v>4</v>
      </c>
    </row>
    <row r="422" spans="8:10">
      <c r="H422" s="146" t="s">
        <v>177</v>
      </c>
      <c r="I422" s="178">
        <v>1655063.6999999997</v>
      </c>
      <c r="J422" s="178">
        <v>5</v>
      </c>
    </row>
    <row r="423" spans="8:10">
      <c r="H423" s="146" t="s">
        <v>160</v>
      </c>
      <c r="I423" s="178">
        <v>2064225.3800000004</v>
      </c>
      <c r="J423" s="178">
        <v>6.5</v>
      </c>
    </row>
    <row r="424" spans="8:10">
      <c r="H424" s="146" t="s">
        <v>311</v>
      </c>
      <c r="I424" s="178">
        <v>516263.99</v>
      </c>
      <c r="J424" s="178">
        <v>1.5</v>
      </c>
    </row>
    <row r="425" spans="8:10">
      <c r="H425" s="146" t="s">
        <v>286</v>
      </c>
      <c r="I425" s="178">
        <v>1243316.3599999999</v>
      </c>
      <c r="J425" s="178">
        <v>3</v>
      </c>
    </row>
    <row r="426" spans="8:10">
      <c r="H426" s="146" t="s">
        <v>312</v>
      </c>
      <c r="I426" s="178">
        <v>267700</v>
      </c>
      <c r="J426" s="178">
        <v>1</v>
      </c>
    </row>
    <row r="427" spans="8:10">
      <c r="H427" s="146" t="s">
        <v>262</v>
      </c>
      <c r="I427" s="178">
        <v>385000</v>
      </c>
      <c r="J427" s="178">
        <v>1</v>
      </c>
    </row>
    <row r="428" spans="8:10">
      <c r="H428" s="146" t="s">
        <v>44</v>
      </c>
      <c r="I428" s="178">
        <v>310290.93</v>
      </c>
      <c r="J428" s="178">
        <v>1</v>
      </c>
    </row>
    <row r="429" spans="8:10">
      <c r="H429" s="146" t="s">
        <v>84</v>
      </c>
      <c r="I429" s="178">
        <v>1558340.03</v>
      </c>
      <c r="J429" s="178">
        <v>5.5</v>
      </c>
    </row>
    <row r="430" spans="8:10">
      <c r="H430" s="146" t="s">
        <v>163</v>
      </c>
      <c r="I430" s="178">
        <v>377222</v>
      </c>
      <c r="J430" s="178">
        <v>1</v>
      </c>
    </row>
    <row r="431" spans="8:10">
      <c r="H431" s="146" t="s">
        <v>332</v>
      </c>
      <c r="I431" s="178">
        <v>235150</v>
      </c>
      <c r="J431" s="178">
        <v>1</v>
      </c>
    </row>
    <row r="432" spans="8:10">
      <c r="H432" s="146" t="s">
        <v>333</v>
      </c>
      <c r="I432" s="178">
        <v>1318769.72</v>
      </c>
      <c r="J432" s="178">
        <v>4</v>
      </c>
    </row>
    <row r="433" spans="8:10">
      <c r="H433" s="146" t="s">
        <v>366</v>
      </c>
      <c r="I433" s="178">
        <v>516500</v>
      </c>
      <c r="J433" s="178">
        <v>1</v>
      </c>
    </row>
    <row r="434" spans="8:10">
      <c r="H434" s="146" t="s">
        <v>367</v>
      </c>
      <c r="I434" s="178">
        <v>779355.4</v>
      </c>
      <c r="J434" s="178">
        <v>3</v>
      </c>
    </row>
    <row r="435" spans="8:10">
      <c r="H435" s="146" t="s">
        <v>369</v>
      </c>
      <c r="I435" s="178">
        <v>127612</v>
      </c>
      <c r="J435" s="178">
        <v>0.5</v>
      </c>
    </row>
    <row r="436" spans="8:10">
      <c r="H436" s="146" t="s">
        <v>375</v>
      </c>
      <c r="I436" s="178">
        <v>654000</v>
      </c>
      <c r="J436" s="178">
        <v>3</v>
      </c>
    </row>
    <row r="437" spans="8:10">
      <c r="H437" s="146" t="s">
        <v>377</v>
      </c>
      <c r="I437" s="178">
        <v>310691.43</v>
      </c>
      <c r="J437" s="178">
        <v>1</v>
      </c>
    </row>
    <row r="438" spans="8:10">
      <c r="H438" s="146" t="s">
        <v>129</v>
      </c>
      <c r="I438" s="178">
        <v>288980.55</v>
      </c>
      <c r="J438" s="178">
        <v>1</v>
      </c>
    </row>
    <row r="439" spans="8:10">
      <c r="H439" s="146" t="s">
        <v>379</v>
      </c>
      <c r="I439" s="178">
        <v>272309.21999999997</v>
      </c>
      <c r="J439" s="178">
        <v>1</v>
      </c>
    </row>
    <row r="440" spans="8:10">
      <c r="H440" s="146" t="s">
        <v>383</v>
      </c>
      <c r="I440" s="178">
        <v>409704.61</v>
      </c>
      <c r="J440" s="178">
        <v>1</v>
      </c>
    </row>
    <row r="441" spans="8:10">
      <c r="H441" s="146" t="s">
        <v>384</v>
      </c>
      <c r="I441" s="178">
        <v>236287</v>
      </c>
      <c r="J441" s="178">
        <v>1</v>
      </c>
    </row>
    <row r="442" spans="8:10">
      <c r="H442" s="146" t="s">
        <v>456</v>
      </c>
      <c r="I442" s="178">
        <v>1063755.2</v>
      </c>
      <c r="J442" s="178">
        <v>4</v>
      </c>
    </row>
    <row r="443" spans="8:10">
      <c r="H443" s="146" t="s">
        <v>461</v>
      </c>
      <c r="I443" s="178">
        <v>273200</v>
      </c>
      <c r="J443" s="178">
        <v>1</v>
      </c>
    </row>
    <row r="444" spans="8:10">
      <c r="H444" s="146" t="s">
        <v>469</v>
      </c>
      <c r="I444" s="178">
        <v>552672</v>
      </c>
      <c r="J444" s="178">
        <v>2</v>
      </c>
    </row>
    <row r="445" spans="8:10">
      <c r="H445" s="146" t="s">
        <v>473</v>
      </c>
      <c r="I445" s="178">
        <v>1422231.32</v>
      </c>
      <c r="J445" s="178">
        <v>4</v>
      </c>
    </row>
    <row r="446" spans="8:10">
      <c r="H446" s="146" t="s">
        <v>474</v>
      </c>
      <c r="I446" s="178">
        <v>445575.5</v>
      </c>
      <c r="J446" s="178">
        <v>1.5</v>
      </c>
    </row>
    <row r="447" spans="8:10">
      <c r="H447" s="146" t="s">
        <v>483</v>
      </c>
      <c r="I447" s="178">
        <v>487273.06</v>
      </c>
      <c r="J447" s="178">
        <v>1</v>
      </c>
    </row>
    <row r="448" spans="8:10">
      <c r="H448" s="146" t="s">
        <v>484</v>
      </c>
      <c r="I448" s="178">
        <v>315418.52</v>
      </c>
      <c r="J448" s="178">
        <v>0.5</v>
      </c>
    </row>
    <row r="449" spans="8:10">
      <c r="H449" s="146" t="s">
        <v>485</v>
      </c>
      <c r="I449" s="178">
        <v>621036.80000000005</v>
      </c>
      <c r="J449" s="178">
        <v>1</v>
      </c>
    </row>
    <row r="450" spans="8:10">
      <c r="H450" s="146" t="s">
        <v>487</v>
      </c>
      <c r="I450" s="178">
        <v>495000</v>
      </c>
      <c r="J450" s="178">
        <v>1</v>
      </c>
    </row>
    <row r="451" spans="8:10">
      <c r="H451" s="146" t="s">
        <v>492</v>
      </c>
      <c r="I451" s="178">
        <v>259050</v>
      </c>
      <c r="J451" s="178">
        <v>1</v>
      </c>
    </row>
    <row r="452" spans="8:10">
      <c r="H452" s="146" t="s">
        <v>493</v>
      </c>
      <c r="I452" s="178">
        <v>441679.16</v>
      </c>
      <c r="J452" s="178">
        <v>1.5</v>
      </c>
    </row>
    <row r="453" spans="8:10">
      <c r="H453" s="146" t="s">
        <v>494</v>
      </c>
      <c r="I453" s="178">
        <v>1687067.35</v>
      </c>
      <c r="J453" s="178">
        <v>5.5</v>
      </c>
    </row>
    <row r="454" spans="8:10">
      <c r="H454" s="146" t="s">
        <v>495</v>
      </c>
      <c r="I454" s="178">
        <v>378460.5</v>
      </c>
      <c r="J454" s="178">
        <v>1</v>
      </c>
    </row>
    <row r="455" spans="8:10">
      <c r="H455" s="146" t="s">
        <v>496</v>
      </c>
      <c r="I455" s="178">
        <v>242900</v>
      </c>
      <c r="J455" s="178">
        <v>1</v>
      </c>
    </row>
    <row r="456" spans="8:10">
      <c r="H456" s="146" t="s">
        <v>497</v>
      </c>
      <c r="I456" s="178">
        <v>1245981.8700000001</v>
      </c>
      <c r="J456" s="178">
        <v>4</v>
      </c>
    </row>
    <row r="457" spans="8:10">
      <c r="H457" s="146" t="s">
        <v>498</v>
      </c>
      <c r="I457" s="178">
        <v>257600</v>
      </c>
      <c r="J457" s="178">
        <v>1</v>
      </c>
    </row>
    <row r="458" spans="8:10">
      <c r="H458" s="146" t="s">
        <v>499</v>
      </c>
      <c r="I458" s="178">
        <v>185975.77</v>
      </c>
      <c r="J458" s="178">
        <v>0.5</v>
      </c>
    </row>
    <row r="459" spans="8:10">
      <c r="H459" s="146" t="s">
        <v>500</v>
      </c>
      <c r="I459" s="178">
        <v>1039610</v>
      </c>
      <c r="J459" s="178">
        <v>4</v>
      </c>
    </row>
    <row r="460" spans="8:10">
      <c r="H460" s="146" t="s">
        <v>501</v>
      </c>
      <c r="I460" s="178">
        <v>365105</v>
      </c>
      <c r="J460" s="178">
        <v>1.5</v>
      </c>
    </row>
    <row r="461" spans="8:10">
      <c r="H461" s="146" t="s">
        <v>502</v>
      </c>
      <c r="I461" s="178">
        <v>365105</v>
      </c>
      <c r="J461" s="178">
        <v>1.5</v>
      </c>
    </row>
    <row r="462" spans="8:10">
      <c r="H462" s="146" t="s">
        <v>503</v>
      </c>
      <c r="I462" s="178">
        <v>950200</v>
      </c>
      <c r="J462" s="178">
        <v>2</v>
      </c>
    </row>
    <row r="463" spans="8:10">
      <c r="H463" s="146" t="s">
        <v>504</v>
      </c>
      <c r="I463" s="178">
        <v>275028.27</v>
      </c>
      <c r="J463" s="178">
        <v>1</v>
      </c>
    </row>
    <row r="464" spans="8:10">
      <c r="H464" s="146" t="s">
        <v>508</v>
      </c>
      <c r="I464" s="178">
        <v>309463.99</v>
      </c>
      <c r="J464" s="178">
        <v>0.5</v>
      </c>
    </row>
    <row r="465" spans="8:10">
      <c r="H465" s="146" t="s">
        <v>505</v>
      </c>
      <c r="I465" s="178">
        <v>1055000</v>
      </c>
      <c r="J465" s="178">
        <v>2</v>
      </c>
    </row>
    <row r="466" spans="8:10">
      <c r="H466" s="146" t="s">
        <v>507</v>
      </c>
      <c r="I466" s="178">
        <v>396923.84</v>
      </c>
      <c r="J466" s="178">
        <v>1</v>
      </c>
    </row>
    <row r="467" spans="8:10">
      <c r="H467" s="146" t="s">
        <v>506</v>
      </c>
      <c r="I467" s="178">
        <v>288980.55</v>
      </c>
      <c r="J467" s="178">
        <v>1</v>
      </c>
    </row>
    <row r="468" spans="8:10">
      <c r="H468" s="146" t="s">
        <v>514</v>
      </c>
      <c r="I468" s="178">
        <v>366980</v>
      </c>
      <c r="J468" s="178">
        <v>1</v>
      </c>
    </row>
    <row r="469" spans="8:10">
      <c r="H469" s="146" t="s">
        <v>515</v>
      </c>
      <c r="I469" s="178">
        <v>131550.41</v>
      </c>
      <c r="J469" s="178">
        <v>0.5</v>
      </c>
    </row>
    <row r="470" spans="8:10">
      <c r="H470" s="147">
        <v>12</v>
      </c>
      <c r="I470" s="178">
        <v>9934700.1799999997</v>
      </c>
      <c r="J470" s="178">
        <v>26</v>
      </c>
    </row>
    <row r="471" spans="8:10">
      <c r="H471" s="146" t="s">
        <v>18</v>
      </c>
      <c r="I471" s="178">
        <v>298089</v>
      </c>
      <c r="J471" s="178">
        <v>1</v>
      </c>
    </row>
    <row r="472" spans="8:10">
      <c r="H472" s="146" t="s">
        <v>49</v>
      </c>
      <c r="I472" s="178">
        <v>236000</v>
      </c>
      <c r="J472" s="178">
        <v>1</v>
      </c>
    </row>
    <row r="473" spans="8:10">
      <c r="H473" s="146" t="s">
        <v>67</v>
      </c>
      <c r="I473" s="178">
        <v>444474.97</v>
      </c>
      <c r="J473" s="178">
        <v>1</v>
      </c>
    </row>
    <row r="474" spans="8:10">
      <c r="H474" s="146" t="s">
        <v>62</v>
      </c>
      <c r="I474" s="178">
        <v>329000</v>
      </c>
      <c r="J474" s="178">
        <v>1</v>
      </c>
    </row>
    <row r="475" spans="8:10">
      <c r="H475" s="146" t="s">
        <v>291</v>
      </c>
      <c r="I475" s="178">
        <v>417500</v>
      </c>
      <c r="J475" s="178">
        <v>1</v>
      </c>
    </row>
    <row r="476" spans="8:10">
      <c r="H476" s="146" t="s">
        <v>307</v>
      </c>
      <c r="I476" s="178">
        <v>763082.61</v>
      </c>
      <c r="J476" s="178">
        <v>2</v>
      </c>
    </row>
    <row r="477" spans="8:10">
      <c r="H477" s="146" t="s">
        <v>39</v>
      </c>
      <c r="I477" s="178">
        <v>420207</v>
      </c>
      <c r="J477" s="178">
        <v>1</v>
      </c>
    </row>
    <row r="478" spans="8:10">
      <c r="H478" s="146" t="s">
        <v>296</v>
      </c>
      <c r="I478" s="178">
        <v>237500</v>
      </c>
      <c r="J478" s="178">
        <v>1</v>
      </c>
    </row>
    <row r="479" spans="8:10">
      <c r="H479" s="146" t="s">
        <v>55</v>
      </c>
      <c r="I479" s="178">
        <v>322472.15999999997</v>
      </c>
      <c r="J479" s="178">
        <v>0.5</v>
      </c>
    </row>
    <row r="480" spans="8:10">
      <c r="H480" s="146" t="s">
        <v>304</v>
      </c>
      <c r="I480" s="178">
        <v>416740</v>
      </c>
      <c r="J480" s="178">
        <v>1</v>
      </c>
    </row>
    <row r="481" spans="8:10">
      <c r="H481" s="146" t="s">
        <v>173</v>
      </c>
      <c r="I481" s="178">
        <v>697159.33000000007</v>
      </c>
      <c r="J481" s="178">
        <v>2</v>
      </c>
    </row>
    <row r="482" spans="8:10">
      <c r="H482" s="146" t="s">
        <v>196</v>
      </c>
      <c r="I482" s="178">
        <v>256400</v>
      </c>
      <c r="J482" s="178">
        <v>1</v>
      </c>
    </row>
    <row r="483" spans="8:10">
      <c r="H483" s="146" t="s">
        <v>43</v>
      </c>
      <c r="I483" s="178">
        <v>549500</v>
      </c>
      <c r="J483" s="178">
        <v>1</v>
      </c>
    </row>
    <row r="484" spans="8:10">
      <c r="H484" s="146" t="s">
        <v>197</v>
      </c>
      <c r="I484" s="178">
        <v>240000</v>
      </c>
      <c r="J484" s="178">
        <v>1</v>
      </c>
    </row>
    <row r="485" spans="8:10">
      <c r="H485" s="146" t="s">
        <v>198</v>
      </c>
      <c r="I485" s="178">
        <v>491174.95</v>
      </c>
      <c r="J485" s="178">
        <v>1</v>
      </c>
    </row>
    <row r="486" spans="8:10">
      <c r="H486" s="146" t="s">
        <v>262</v>
      </c>
      <c r="I486" s="178">
        <v>349999.99</v>
      </c>
      <c r="J486" s="178">
        <v>1</v>
      </c>
    </row>
    <row r="487" spans="8:10">
      <c r="H487" s="146" t="s">
        <v>84</v>
      </c>
      <c r="I487" s="178">
        <v>190449.285</v>
      </c>
      <c r="J487" s="178">
        <v>0.5</v>
      </c>
    </row>
    <row r="488" spans="8:10">
      <c r="H488" s="146" t="s">
        <v>383</v>
      </c>
      <c r="I488" s="178">
        <v>322472.15999999997</v>
      </c>
      <c r="J488" s="178">
        <v>0.5</v>
      </c>
    </row>
    <row r="489" spans="8:10">
      <c r="H489" s="146" t="s">
        <v>461</v>
      </c>
      <c r="I489" s="178">
        <v>396498</v>
      </c>
      <c r="J489" s="178">
        <v>1</v>
      </c>
    </row>
    <row r="490" spans="8:10">
      <c r="H490" s="146" t="s">
        <v>469</v>
      </c>
      <c r="I490" s="178">
        <v>490000</v>
      </c>
      <c r="J490" s="178">
        <v>1</v>
      </c>
    </row>
    <row r="491" spans="8:10">
      <c r="H491" s="146" t="s">
        <v>494</v>
      </c>
      <c r="I491" s="178">
        <v>190449.285</v>
      </c>
      <c r="J491" s="178">
        <v>0.5</v>
      </c>
    </row>
    <row r="492" spans="8:10">
      <c r="H492" s="146" t="s">
        <v>504</v>
      </c>
      <c r="I492" s="178">
        <v>291236.49</v>
      </c>
      <c r="J492" s="178">
        <v>1</v>
      </c>
    </row>
    <row r="493" spans="8:10">
      <c r="H493" s="146" t="s">
        <v>505</v>
      </c>
      <c r="I493" s="178">
        <v>344924</v>
      </c>
      <c r="J493" s="178">
        <v>1</v>
      </c>
    </row>
    <row r="494" spans="8:10">
      <c r="H494" s="146" t="s">
        <v>512</v>
      </c>
      <c r="I494" s="178">
        <v>360240</v>
      </c>
      <c r="J494" s="178">
        <v>1</v>
      </c>
    </row>
    <row r="495" spans="8:10">
      <c r="H495" s="146" t="s">
        <v>513</v>
      </c>
      <c r="I495" s="178">
        <v>491174.95</v>
      </c>
      <c r="J495" s="178">
        <v>1</v>
      </c>
    </row>
    <row r="496" spans="8:10">
      <c r="H496" s="146" t="s">
        <v>516</v>
      </c>
      <c r="I496" s="178">
        <v>387956</v>
      </c>
      <c r="J496" s="178">
        <v>1</v>
      </c>
    </row>
    <row r="497" spans="8:10">
      <c r="H497" s="145">
        <v>2014</v>
      </c>
      <c r="I497" s="178">
        <v>19598821.740000002</v>
      </c>
      <c r="J497" s="178">
        <v>45.5</v>
      </c>
    </row>
    <row r="498" spans="8:10">
      <c r="H498" s="147">
        <v>1</v>
      </c>
      <c r="I498" s="178">
        <v>14138045.620000001</v>
      </c>
      <c r="J498" s="178">
        <v>31</v>
      </c>
    </row>
    <row r="499" spans="8:10">
      <c r="H499" s="146" t="s">
        <v>295</v>
      </c>
      <c r="I499" s="178">
        <v>192000</v>
      </c>
      <c r="J499" s="178">
        <v>0.5</v>
      </c>
    </row>
    <row r="500" spans="8:10">
      <c r="H500" s="146" t="s">
        <v>291</v>
      </c>
      <c r="I500" s="178">
        <v>300000</v>
      </c>
      <c r="J500" s="178">
        <v>1</v>
      </c>
    </row>
    <row r="501" spans="8:10">
      <c r="H501" s="146" t="s">
        <v>148</v>
      </c>
      <c r="I501" s="178">
        <v>470500</v>
      </c>
      <c r="J501" s="178">
        <v>2</v>
      </c>
    </row>
    <row r="502" spans="8:10">
      <c r="H502" s="146" t="s">
        <v>304</v>
      </c>
      <c r="I502" s="178">
        <v>195750</v>
      </c>
      <c r="J502" s="178">
        <v>0.5</v>
      </c>
    </row>
    <row r="503" spans="8:10">
      <c r="H503" s="146" t="s">
        <v>302</v>
      </c>
      <c r="I503" s="178">
        <v>614950</v>
      </c>
      <c r="J503" s="178">
        <v>1.5</v>
      </c>
    </row>
    <row r="504" spans="8:10">
      <c r="H504" s="146" t="s">
        <v>104</v>
      </c>
      <c r="I504" s="178">
        <v>375593</v>
      </c>
      <c r="J504" s="178">
        <v>1</v>
      </c>
    </row>
    <row r="505" spans="8:10">
      <c r="H505" s="146" t="s">
        <v>19</v>
      </c>
      <c r="I505" s="178">
        <v>322494.19</v>
      </c>
      <c r="J505" s="178">
        <v>1.5</v>
      </c>
    </row>
    <row r="506" spans="8:10">
      <c r="H506" s="146" t="s">
        <v>235</v>
      </c>
      <c r="I506" s="178">
        <v>692045.55</v>
      </c>
      <c r="J506" s="178">
        <v>2</v>
      </c>
    </row>
    <row r="507" spans="8:10">
      <c r="H507" s="146" t="s">
        <v>309</v>
      </c>
      <c r="I507" s="178">
        <v>1244186.4300000002</v>
      </c>
      <c r="J507" s="178">
        <v>2</v>
      </c>
    </row>
    <row r="508" spans="8:10">
      <c r="H508" s="146" t="s">
        <v>310</v>
      </c>
      <c r="I508" s="178">
        <v>885000</v>
      </c>
      <c r="J508" s="178">
        <v>1</v>
      </c>
    </row>
    <row r="509" spans="8:10">
      <c r="H509" s="146" t="s">
        <v>237</v>
      </c>
      <c r="I509" s="178">
        <v>122494.19</v>
      </c>
      <c r="J509" s="178">
        <v>0.5</v>
      </c>
    </row>
    <row r="510" spans="8:10">
      <c r="H510" s="146" t="s">
        <v>160</v>
      </c>
      <c r="I510" s="178">
        <v>480266.53</v>
      </c>
      <c r="J510" s="178">
        <v>1</v>
      </c>
    </row>
    <row r="511" spans="8:10">
      <c r="H511" s="146" t="s">
        <v>262</v>
      </c>
      <c r="I511" s="178">
        <v>686832</v>
      </c>
      <c r="J511" s="178">
        <v>2</v>
      </c>
    </row>
    <row r="512" spans="8:10">
      <c r="H512" s="146" t="s">
        <v>367</v>
      </c>
      <c r="I512" s="178">
        <v>2306800</v>
      </c>
      <c r="J512" s="178">
        <v>1</v>
      </c>
    </row>
    <row r="513" spans="8:10">
      <c r="H513" s="146" t="s">
        <v>384</v>
      </c>
      <c r="I513" s="178">
        <v>221657.8</v>
      </c>
      <c r="J513" s="178">
        <v>1</v>
      </c>
    </row>
    <row r="514" spans="8:10">
      <c r="H514" s="146" t="s">
        <v>461</v>
      </c>
      <c r="I514" s="178">
        <v>304893.53500000003</v>
      </c>
      <c r="J514" s="178">
        <v>1</v>
      </c>
    </row>
    <row r="515" spans="8:10">
      <c r="H515" s="146" t="s">
        <v>484</v>
      </c>
      <c r="I515" s="178">
        <v>211404</v>
      </c>
      <c r="J515" s="178">
        <v>1</v>
      </c>
    </row>
    <row r="516" spans="8:10">
      <c r="H516" s="146" t="s">
        <v>504</v>
      </c>
      <c r="I516" s="178">
        <v>410449.86</v>
      </c>
      <c r="J516" s="178">
        <v>1</v>
      </c>
    </row>
    <row r="517" spans="8:10">
      <c r="H517" s="146" t="s">
        <v>505</v>
      </c>
      <c r="I517" s="178">
        <v>109143.535</v>
      </c>
      <c r="J517" s="178">
        <v>0.5</v>
      </c>
    </row>
    <row r="518" spans="8:10">
      <c r="H518" s="146" t="s">
        <v>515</v>
      </c>
      <c r="I518" s="178">
        <v>581287</v>
      </c>
      <c r="J518" s="178">
        <v>2</v>
      </c>
    </row>
    <row r="519" spans="8:10">
      <c r="H519" s="146" t="s">
        <v>518</v>
      </c>
      <c r="I519" s="178">
        <v>484115.36</v>
      </c>
      <c r="J519" s="178">
        <v>1</v>
      </c>
    </row>
    <row r="520" spans="8:10">
      <c r="H520" s="146" t="s">
        <v>532</v>
      </c>
      <c r="I520" s="178">
        <v>455428.24</v>
      </c>
      <c r="J520" s="178">
        <v>1</v>
      </c>
    </row>
    <row r="521" spans="8:10">
      <c r="H521" s="146" t="s">
        <v>539</v>
      </c>
      <c r="I521" s="178">
        <v>531009</v>
      </c>
      <c r="J521" s="178">
        <v>2</v>
      </c>
    </row>
    <row r="522" spans="8:10">
      <c r="H522" s="146" t="s">
        <v>540</v>
      </c>
      <c r="I522" s="178">
        <v>1680000</v>
      </c>
      <c r="J522" s="178">
        <v>2</v>
      </c>
    </row>
    <row r="523" spans="8:10">
      <c r="H523" s="146" t="s">
        <v>542</v>
      </c>
      <c r="I523" s="178">
        <v>259745.4</v>
      </c>
      <c r="J523" s="178">
        <v>1</v>
      </c>
    </row>
    <row r="524" spans="8:10">
      <c r="H524" s="147">
        <v>2</v>
      </c>
      <c r="I524" s="178">
        <v>5460776.1200000001</v>
      </c>
      <c r="J524" s="178">
        <v>14.5</v>
      </c>
    </row>
    <row r="525" spans="8:10">
      <c r="H525" s="146" t="s">
        <v>283</v>
      </c>
      <c r="I525" s="178">
        <v>771737</v>
      </c>
      <c r="J525" s="178">
        <v>2</v>
      </c>
    </row>
    <row r="526" spans="8:10">
      <c r="H526" s="146" t="s">
        <v>307</v>
      </c>
      <c r="I526" s="178">
        <v>126350</v>
      </c>
      <c r="J526" s="178">
        <v>0.5</v>
      </c>
    </row>
    <row r="527" spans="8:10">
      <c r="H527" s="146" t="s">
        <v>148</v>
      </c>
      <c r="I527" s="178">
        <v>240000</v>
      </c>
      <c r="J527" s="178">
        <v>1</v>
      </c>
    </row>
    <row r="528" spans="8:10">
      <c r="H528" s="146" t="s">
        <v>56</v>
      </c>
      <c r="I528" s="178">
        <v>350300</v>
      </c>
      <c r="J528" s="178">
        <v>1</v>
      </c>
    </row>
    <row r="529" spans="8:10">
      <c r="H529" s="146" t="s">
        <v>19</v>
      </c>
      <c r="I529" s="178">
        <v>435300</v>
      </c>
      <c r="J529" s="178">
        <v>2</v>
      </c>
    </row>
    <row r="530" spans="8:10">
      <c r="H530" s="146" t="s">
        <v>277</v>
      </c>
      <c r="I530" s="178">
        <v>239700</v>
      </c>
      <c r="J530" s="178">
        <v>0.5</v>
      </c>
    </row>
    <row r="531" spans="8:10">
      <c r="H531" s="146" t="s">
        <v>309</v>
      </c>
      <c r="I531" s="178">
        <v>659000</v>
      </c>
      <c r="J531" s="178">
        <v>1</v>
      </c>
    </row>
    <row r="532" spans="8:10">
      <c r="H532" s="146" t="s">
        <v>275</v>
      </c>
      <c r="I532" s="178">
        <v>545700</v>
      </c>
      <c r="J532" s="178">
        <v>1</v>
      </c>
    </row>
    <row r="533" spans="8:10">
      <c r="H533" s="146" t="s">
        <v>310</v>
      </c>
      <c r="I533" s="178">
        <v>483529.12</v>
      </c>
      <c r="J533" s="178">
        <v>1</v>
      </c>
    </row>
    <row r="534" spans="8:10">
      <c r="H534" s="146" t="s">
        <v>163</v>
      </c>
      <c r="I534" s="178">
        <v>345960</v>
      </c>
      <c r="J534" s="178">
        <v>1</v>
      </c>
    </row>
    <row r="535" spans="8:10">
      <c r="H535" s="146" t="s">
        <v>532</v>
      </c>
      <c r="I535" s="178">
        <v>239700</v>
      </c>
      <c r="J535" s="178">
        <v>0.5</v>
      </c>
    </row>
    <row r="536" spans="8:10">
      <c r="H536" s="146" t="s">
        <v>546</v>
      </c>
      <c r="I536" s="178">
        <v>813500</v>
      </c>
      <c r="J536" s="178">
        <v>2</v>
      </c>
    </row>
    <row r="537" spans="8:10">
      <c r="H537" s="146" t="s">
        <v>547</v>
      </c>
      <c r="I537" s="178">
        <v>210000</v>
      </c>
      <c r="J537" s="178">
        <v>1</v>
      </c>
    </row>
    <row r="538" spans="8:10">
      <c r="H538" s="145" t="s">
        <v>548</v>
      </c>
      <c r="I538" s="178">
        <v>343079262.64000028</v>
      </c>
      <c r="J538" s="178">
        <v>804</v>
      </c>
    </row>
  </sheetData>
  <pageMargins left="0.511811024" right="0.511811024" top="0.78740157499999996" bottom="0.78740157499999996" header="0.31496062000000002" footer="0.31496062000000002"/>
  <pageSetup paperSize="9" orientation="portrait"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F15" sqref="F15"/>
    </sheetView>
  </sheetViews>
  <sheetFormatPr defaultRowHeight="14.4"/>
  <cols>
    <col min="1" max="1" width="17" bestFit="1" customWidth="1"/>
    <col min="2" max="2" width="12.6640625" bestFit="1" customWidth="1"/>
  </cols>
  <sheetData>
    <row r="1" spans="1:2">
      <c r="A1" s="179" t="s">
        <v>325</v>
      </c>
      <c r="B1" s="205" t="s">
        <v>549</v>
      </c>
    </row>
    <row r="2" spans="1:2">
      <c r="A2" s="179" t="s">
        <v>324</v>
      </c>
      <c r="B2" s="182">
        <v>8</v>
      </c>
    </row>
    <row r="4" spans="1:2">
      <c r="A4" s="179" t="s">
        <v>550</v>
      </c>
      <c r="B4" t="s">
        <v>321</v>
      </c>
    </row>
    <row r="5" spans="1:2">
      <c r="A5" s="182" t="s">
        <v>328</v>
      </c>
      <c r="B5" s="183">
        <v>25780667.829999998</v>
      </c>
    </row>
    <row r="6" spans="1:2">
      <c r="A6" s="144" t="s">
        <v>339</v>
      </c>
      <c r="B6" s="183">
        <v>10133702.809999999</v>
      </c>
    </row>
    <row r="7" spans="1:2">
      <c r="A7" s="146" t="s">
        <v>24</v>
      </c>
      <c r="B7" s="183">
        <v>1276100</v>
      </c>
    </row>
    <row r="8" spans="1:2">
      <c r="A8" s="146" t="s">
        <v>61</v>
      </c>
      <c r="B8" s="183">
        <v>655000</v>
      </c>
    </row>
    <row r="9" spans="1:2">
      <c r="A9" s="146" t="s">
        <v>25</v>
      </c>
      <c r="B9" s="183">
        <v>2635482.38</v>
      </c>
    </row>
    <row r="10" spans="1:2">
      <c r="A10" s="146" t="s">
        <v>79</v>
      </c>
      <c r="B10" s="183">
        <v>966600</v>
      </c>
    </row>
    <row r="11" spans="1:2">
      <c r="A11" s="146" t="s">
        <v>26</v>
      </c>
      <c r="B11" s="183">
        <v>895868.42999999993</v>
      </c>
    </row>
    <row r="12" spans="1:2">
      <c r="A12" s="146" t="s">
        <v>23</v>
      </c>
      <c r="B12" s="183">
        <v>945000</v>
      </c>
    </row>
    <row r="13" spans="1:2">
      <c r="A13" s="146" t="s">
        <v>27</v>
      </c>
      <c r="B13" s="183">
        <v>2759652</v>
      </c>
    </row>
    <row r="14" spans="1:2">
      <c r="A14" s="144" t="s">
        <v>340</v>
      </c>
      <c r="B14" s="183">
        <v>15646965.020000001</v>
      </c>
    </row>
    <row r="15" spans="1:2">
      <c r="A15" s="146" t="s">
        <v>24</v>
      </c>
      <c r="B15" s="183">
        <v>3343396.95</v>
      </c>
    </row>
    <row r="16" spans="1:2">
      <c r="A16" s="146" t="s">
        <v>61</v>
      </c>
      <c r="B16" s="183">
        <v>2915374.44</v>
      </c>
    </row>
    <row r="17" spans="1:2">
      <c r="A17" s="146" t="s">
        <v>25</v>
      </c>
      <c r="B17" s="183">
        <v>2899140.54</v>
      </c>
    </row>
    <row r="18" spans="1:2">
      <c r="A18" s="146" t="s">
        <v>79</v>
      </c>
      <c r="B18" s="183">
        <v>1264419.8700000001</v>
      </c>
    </row>
    <row r="19" spans="1:2">
      <c r="A19" s="146" t="s">
        <v>26</v>
      </c>
      <c r="B19" s="183">
        <v>1984240.25</v>
      </c>
    </row>
    <row r="20" spans="1:2">
      <c r="A20" s="146" t="s">
        <v>23</v>
      </c>
      <c r="B20" s="183">
        <v>523533.88</v>
      </c>
    </row>
    <row r="21" spans="1:2">
      <c r="A21" s="146" t="s">
        <v>27</v>
      </c>
      <c r="B21" s="183">
        <v>2716859.09</v>
      </c>
    </row>
    <row r="22" spans="1:2">
      <c r="A22" s="182" t="s">
        <v>327</v>
      </c>
      <c r="B22" s="183">
        <v>1676796.27</v>
      </c>
    </row>
    <row r="23" spans="1:2">
      <c r="A23" s="144" t="s">
        <v>327</v>
      </c>
      <c r="B23" s="183">
        <v>1676796.27</v>
      </c>
    </row>
    <row r="24" spans="1:2">
      <c r="A24" s="146" t="s">
        <v>362</v>
      </c>
      <c r="B24" s="183">
        <v>1676796.27</v>
      </c>
    </row>
    <row r="25" spans="1:2">
      <c r="A25" s="182" t="s">
        <v>329</v>
      </c>
      <c r="B25" s="183">
        <v>3867335.63</v>
      </c>
    </row>
    <row r="26" spans="1:2">
      <c r="A26" s="144" t="s">
        <v>339</v>
      </c>
      <c r="B26" s="183">
        <v>1261600</v>
      </c>
    </row>
    <row r="27" spans="1:2">
      <c r="A27" s="146" t="s">
        <v>33</v>
      </c>
      <c r="B27" s="183">
        <v>1261600</v>
      </c>
    </row>
    <row r="28" spans="1:2">
      <c r="A28" s="144" t="s">
        <v>340</v>
      </c>
      <c r="B28" s="183">
        <v>2605735.63</v>
      </c>
    </row>
    <row r="29" spans="1:2">
      <c r="A29" s="146" t="s">
        <v>33</v>
      </c>
      <c r="B29" s="183">
        <v>2605735.63</v>
      </c>
    </row>
    <row r="30" spans="1:2">
      <c r="A30" s="182" t="s">
        <v>548</v>
      </c>
      <c r="B30" s="183">
        <v>31324799.729999997</v>
      </c>
    </row>
  </sheetData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58"/>
  <sheetViews>
    <sheetView topLeftCell="A301" workbookViewId="0">
      <selection activeCell="B12" sqref="B12"/>
    </sheetView>
  </sheetViews>
  <sheetFormatPr defaultRowHeight="14.4"/>
  <cols>
    <col min="1" max="1" width="33.109375" bestFit="1" customWidth="1"/>
    <col min="2" max="2" width="13.77734375" bestFit="1" customWidth="1"/>
    <col min="3" max="3" width="15.44140625" bestFit="1" customWidth="1"/>
    <col min="4" max="4" width="13.88671875" bestFit="1" customWidth="1"/>
  </cols>
  <sheetData>
    <row r="2" spans="1:3">
      <c r="A2" s="179" t="s">
        <v>325</v>
      </c>
      <c r="B2" s="205" t="s">
        <v>549</v>
      </c>
    </row>
    <row r="3" spans="1:3">
      <c r="A3" s="179" t="s">
        <v>338</v>
      </c>
      <c r="B3" s="205" t="s">
        <v>339</v>
      </c>
    </row>
    <row r="5" spans="1:3">
      <c r="B5" s="179" t="s">
        <v>322</v>
      </c>
    </row>
    <row r="6" spans="1:3">
      <c r="A6" s="179" t="s">
        <v>550</v>
      </c>
      <c r="B6" s="205" t="s">
        <v>321</v>
      </c>
      <c r="C6" s="205" t="s">
        <v>376</v>
      </c>
    </row>
    <row r="7" spans="1:3">
      <c r="A7" s="182" t="s">
        <v>212</v>
      </c>
      <c r="B7" s="183">
        <v>254200</v>
      </c>
      <c r="C7" s="178">
        <v>1</v>
      </c>
    </row>
    <row r="8" spans="1:3">
      <c r="A8" s="144" t="s">
        <v>208</v>
      </c>
      <c r="B8" s="183">
        <v>254200</v>
      </c>
      <c r="C8" s="178">
        <v>1</v>
      </c>
    </row>
    <row r="9" spans="1:3">
      <c r="A9" s="146">
        <v>4</v>
      </c>
      <c r="B9" s="183">
        <v>254200</v>
      </c>
      <c r="C9" s="178">
        <v>1</v>
      </c>
    </row>
    <row r="10" spans="1:3">
      <c r="A10" s="182" t="s">
        <v>18</v>
      </c>
      <c r="B10" s="183">
        <v>1487865.4</v>
      </c>
      <c r="C10" s="178">
        <v>7</v>
      </c>
    </row>
    <row r="11" spans="1:3">
      <c r="A11" s="144" t="s">
        <v>182</v>
      </c>
      <c r="B11" s="183">
        <v>381875</v>
      </c>
      <c r="C11" s="178">
        <v>2</v>
      </c>
    </row>
    <row r="12" spans="1:3">
      <c r="A12" s="146">
        <v>1</v>
      </c>
      <c r="B12" s="183">
        <v>201875</v>
      </c>
      <c r="C12" s="178">
        <v>1</v>
      </c>
    </row>
    <row r="13" spans="1:3">
      <c r="A13" s="146">
        <v>5</v>
      </c>
      <c r="B13" s="183">
        <v>180000</v>
      </c>
      <c r="C13" s="178">
        <v>1</v>
      </c>
    </row>
    <row r="14" spans="1:3">
      <c r="A14" s="144" t="s">
        <v>208</v>
      </c>
      <c r="B14" s="183">
        <v>516982.38</v>
      </c>
      <c r="C14" s="178">
        <v>2</v>
      </c>
    </row>
    <row r="15" spans="1:3">
      <c r="A15" s="146">
        <v>8</v>
      </c>
      <c r="B15" s="183">
        <v>260482.38</v>
      </c>
      <c r="C15" s="178">
        <v>1</v>
      </c>
    </row>
    <row r="16" spans="1:3">
      <c r="A16" s="146">
        <v>9</v>
      </c>
      <c r="B16" s="183">
        <v>256500</v>
      </c>
      <c r="C16" s="178">
        <v>1</v>
      </c>
    </row>
    <row r="17" spans="1:3">
      <c r="A17" s="144" t="s">
        <v>432</v>
      </c>
      <c r="B17" s="183">
        <v>589008.02</v>
      </c>
      <c r="C17" s="178">
        <v>3</v>
      </c>
    </row>
    <row r="18" spans="1:3">
      <c r="A18" s="146">
        <v>1</v>
      </c>
      <c r="B18" s="183">
        <v>180625</v>
      </c>
      <c r="C18" s="178">
        <v>1</v>
      </c>
    </row>
    <row r="19" spans="1:3">
      <c r="A19" s="146">
        <v>5</v>
      </c>
      <c r="B19" s="183">
        <v>222000.02</v>
      </c>
      <c r="C19" s="178">
        <v>1</v>
      </c>
    </row>
    <row r="20" spans="1:3">
      <c r="A20" s="146">
        <v>7</v>
      </c>
      <c r="B20" s="183">
        <v>186383</v>
      </c>
      <c r="C20" s="178">
        <v>1</v>
      </c>
    </row>
    <row r="21" spans="1:3">
      <c r="A21" s="182" t="s">
        <v>333</v>
      </c>
      <c r="B21" s="183">
        <v>372428.33999999997</v>
      </c>
      <c r="C21" s="178">
        <v>2</v>
      </c>
    </row>
    <row r="22" spans="1:3">
      <c r="A22" s="144" t="s">
        <v>208</v>
      </c>
      <c r="B22" s="183">
        <v>372428.33999999997</v>
      </c>
      <c r="C22" s="178">
        <v>2</v>
      </c>
    </row>
    <row r="23" spans="1:3">
      <c r="A23" s="146">
        <v>7</v>
      </c>
      <c r="B23" s="183">
        <v>130000</v>
      </c>
      <c r="C23" s="178">
        <v>1</v>
      </c>
    </row>
    <row r="24" spans="1:3">
      <c r="A24" s="146">
        <v>10</v>
      </c>
      <c r="B24" s="183">
        <v>242428.34</v>
      </c>
      <c r="C24" s="178">
        <v>1</v>
      </c>
    </row>
    <row r="25" spans="1:3">
      <c r="A25" s="182" t="s">
        <v>187</v>
      </c>
      <c r="B25" s="183">
        <v>2885000</v>
      </c>
      <c r="C25" s="178">
        <v>3</v>
      </c>
    </row>
    <row r="26" spans="1:3">
      <c r="A26" s="144" t="s">
        <v>186</v>
      </c>
      <c r="B26" s="183">
        <v>800000</v>
      </c>
      <c r="C26" s="178">
        <v>2</v>
      </c>
    </row>
    <row r="27" spans="1:3">
      <c r="A27" s="146">
        <v>5</v>
      </c>
      <c r="B27" s="183">
        <v>800000</v>
      </c>
      <c r="C27" s="178">
        <v>2</v>
      </c>
    </row>
    <row r="28" spans="1:3">
      <c r="A28" s="144" t="s">
        <v>89</v>
      </c>
      <c r="B28" s="183">
        <v>2085000</v>
      </c>
      <c r="C28" s="178">
        <v>1</v>
      </c>
    </row>
    <row r="29" spans="1:3">
      <c r="A29" s="146">
        <v>5</v>
      </c>
      <c r="B29" s="183">
        <v>2085000</v>
      </c>
      <c r="C29" s="178">
        <v>1</v>
      </c>
    </row>
    <row r="30" spans="1:3">
      <c r="A30" s="182" t="s">
        <v>45</v>
      </c>
      <c r="B30" s="183">
        <v>30700</v>
      </c>
      <c r="C30" s="178">
        <v>1</v>
      </c>
    </row>
    <row r="31" spans="1:3">
      <c r="A31" s="144" t="s">
        <v>53</v>
      </c>
      <c r="B31" s="183">
        <v>30700</v>
      </c>
      <c r="C31" s="178">
        <v>1</v>
      </c>
    </row>
    <row r="32" spans="1:3">
      <c r="A32" s="146">
        <v>2</v>
      </c>
      <c r="B32" s="183">
        <v>30700</v>
      </c>
      <c r="C32" s="178">
        <v>1</v>
      </c>
    </row>
    <row r="33" spans="1:3">
      <c r="A33" s="182" t="s">
        <v>218</v>
      </c>
      <c r="B33" s="183">
        <v>138075</v>
      </c>
      <c r="C33" s="178">
        <v>1</v>
      </c>
    </row>
    <row r="34" spans="1:3">
      <c r="A34" s="144" t="s">
        <v>208</v>
      </c>
      <c r="B34" s="183">
        <v>138075</v>
      </c>
      <c r="C34" s="178">
        <v>1</v>
      </c>
    </row>
    <row r="35" spans="1:3">
      <c r="A35" s="146">
        <v>5</v>
      </c>
      <c r="B35" s="183">
        <v>138075</v>
      </c>
      <c r="C35" s="178">
        <v>1</v>
      </c>
    </row>
    <row r="36" spans="1:3">
      <c r="A36" s="182" t="s">
        <v>17</v>
      </c>
      <c r="B36" s="183">
        <v>1114585.01</v>
      </c>
      <c r="C36" s="178">
        <v>6</v>
      </c>
    </row>
    <row r="37" spans="1:3">
      <c r="A37" s="144" t="s">
        <v>182</v>
      </c>
      <c r="B37" s="183">
        <v>355313</v>
      </c>
      <c r="C37" s="178">
        <v>2</v>
      </c>
    </row>
    <row r="38" spans="1:3">
      <c r="A38" s="146">
        <v>1</v>
      </c>
      <c r="B38" s="183">
        <v>175313</v>
      </c>
      <c r="C38" s="178">
        <v>1</v>
      </c>
    </row>
    <row r="39" spans="1:3">
      <c r="A39" s="146">
        <v>5</v>
      </c>
      <c r="B39" s="183">
        <v>180000</v>
      </c>
      <c r="C39" s="178">
        <v>1</v>
      </c>
    </row>
    <row r="40" spans="1:3">
      <c r="A40" s="144" t="s">
        <v>191</v>
      </c>
      <c r="B40" s="183">
        <v>541458</v>
      </c>
      <c r="C40" s="178">
        <v>3</v>
      </c>
    </row>
    <row r="41" spans="1:3">
      <c r="A41" s="146">
        <v>3</v>
      </c>
      <c r="B41" s="183">
        <v>198058</v>
      </c>
      <c r="C41" s="178">
        <v>1</v>
      </c>
    </row>
    <row r="42" spans="1:3">
      <c r="A42" s="146">
        <v>4</v>
      </c>
      <c r="B42" s="183">
        <v>119900</v>
      </c>
      <c r="C42" s="178">
        <v>1</v>
      </c>
    </row>
    <row r="43" spans="1:3">
      <c r="A43" s="146">
        <v>5</v>
      </c>
      <c r="B43" s="183">
        <v>223500</v>
      </c>
      <c r="C43" s="178">
        <v>1</v>
      </c>
    </row>
    <row r="44" spans="1:3">
      <c r="A44" s="144" t="s">
        <v>432</v>
      </c>
      <c r="B44" s="183">
        <v>217814.01</v>
      </c>
      <c r="C44" s="178">
        <v>1</v>
      </c>
    </row>
    <row r="45" spans="1:3">
      <c r="A45" s="146">
        <v>1</v>
      </c>
      <c r="B45" s="183">
        <v>217814.01</v>
      </c>
      <c r="C45" s="178">
        <v>1</v>
      </c>
    </row>
    <row r="46" spans="1:3">
      <c r="A46" s="182" t="s">
        <v>87</v>
      </c>
      <c r="B46" s="183">
        <v>842455</v>
      </c>
      <c r="C46" s="178">
        <v>2</v>
      </c>
    </row>
    <row r="47" spans="1:3">
      <c r="A47" s="144" t="s">
        <v>53</v>
      </c>
      <c r="B47" s="183">
        <v>842455</v>
      </c>
      <c r="C47" s="178">
        <v>2</v>
      </c>
    </row>
    <row r="48" spans="1:3">
      <c r="A48" s="146">
        <v>4</v>
      </c>
      <c r="B48" s="183">
        <v>577155</v>
      </c>
      <c r="C48" s="178">
        <v>1</v>
      </c>
    </row>
    <row r="49" spans="1:3">
      <c r="A49" s="146">
        <v>8</v>
      </c>
      <c r="B49" s="183">
        <v>265300</v>
      </c>
      <c r="C49" s="178">
        <v>1</v>
      </c>
    </row>
    <row r="50" spans="1:3">
      <c r="A50" s="182" t="s">
        <v>206</v>
      </c>
      <c r="B50" s="183">
        <v>1825375</v>
      </c>
      <c r="C50" s="178">
        <v>4</v>
      </c>
    </row>
    <row r="51" spans="1:3">
      <c r="A51" s="144" t="s">
        <v>186</v>
      </c>
      <c r="B51" s="183">
        <v>367400</v>
      </c>
      <c r="C51" s="178">
        <v>1</v>
      </c>
    </row>
    <row r="52" spans="1:3">
      <c r="A52" s="146">
        <v>5</v>
      </c>
      <c r="B52" s="183">
        <v>367400</v>
      </c>
      <c r="C52" s="178">
        <v>1</v>
      </c>
    </row>
    <row r="53" spans="1:3">
      <c r="A53" s="144" t="s">
        <v>89</v>
      </c>
      <c r="B53" s="183">
        <v>1200000</v>
      </c>
      <c r="C53" s="178">
        <v>1</v>
      </c>
    </row>
    <row r="54" spans="1:3">
      <c r="A54" s="146">
        <v>5</v>
      </c>
      <c r="B54" s="183">
        <v>1200000</v>
      </c>
      <c r="C54" s="178">
        <v>1</v>
      </c>
    </row>
    <row r="55" spans="1:3">
      <c r="A55" s="144" t="s">
        <v>191</v>
      </c>
      <c r="B55" s="183">
        <v>119900</v>
      </c>
      <c r="C55" s="178">
        <v>1</v>
      </c>
    </row>
    <row r="56" spans="1:3">
      <c r="A56" s="146">
        <v>4</v>
      </c>
      <c r="B56" s="183">
        <v>119900</v>
      </c>
      <c r="C56" s="178">
        <v>1</v>
      </c>
    </row>
    <row r="57" spans="1:3">
      <c r="A57" s="144" t="s">
        <v>208</v>
      </c>
      <c r="B57" s="183">
        <v>138075</v>
      </c>
      <c r="C57" s="178">
        <v>1</v>
      </c>
    </row>
    <row r="58" spans="1:3">
      <c r="A58" s="146">
        <v>5</v>
      </c>
      <c r="B58" s="183">
        <v>138075</v>
      </c>
      <c r="C58" s="178">
        <v>1</v>
      </c>
    </row>
    <row r="59" spans="1:3">
      <c r="A59" s="182" t="s">
        <v>207</v>
      </c>
      <c r="B59" s="183">
        <v>1809042.79</v>
      </c>
      <c r="C59" s="178">
        <v>4</v>
      </c>
    </row>
    <row r="60" spans="1:3">
      <c r="A60" s="144" t="s">
        <v>53</v>
      </c>
      <c r="B60" s="183">
        <v>1409240</v>
      </c>
      <c r="C60" s="178">
        <v>3</v>
      </c>
    </row>
    <row r="61" spans="1:3">
      <c r="A61" s="146">
        <v>2</v>
      </c>
      <c r="B61" s="183">
        <v>890240</v>
      </c>
      <c r="C61" s="178">
        <v>2</v>
      </c>
    </row>
    <row r="62" spans="1:3">
      <c r="A62" s="146">
        <v>5</v>
      </c>
      <c r="B62" s="183">
        <v>519000</v>
      </c>
      <c r="C62" s="178">
        <v>1</v>
      </c>
    </row>
    <row r="63" spans="1:3">
      <c r="A63" s="144" t="s">
        <v>186</v>
      </c>
      <c r="B63" s="183">
        <v>399802.79</v>
      </c>
      <c r="C63" s="178">
        <v>1</v>
      </c>
    </row>
    <row r="64" spans="1:3">
      <c r="A64" s="146">
        <v>4</v>
      </c>
      <c r="B64" s="183">
        <v>399802.79</v>
      </c>
      <c r="C64" s="178">
        <v>1</v>
      </c>
    </row>
    <row r="65" spans="1:3">
      <c r="A65" s="182" t="s">
        <v>41</v>
      </c>
      <c r="B65" s="183">
        <v>563602.73</v>
      </c>
      <c r="C65" s="178">
        <v>3</v>
      </c>
    </row>
    <row r="66" spans="1:3">
      <c r="A66" s="144" t="s">
        <v>53</v>
      </c>
      <c r="B66" s="183">
        <v>319600</v>
      </c>
      <c r="C66" s="178">
        <v>1</v>
      </c>
    </row>
    <row r="67" spans="1:3">
      <c r="A67" s="146">
        <v>8</v>
      </c>
      <c r="B67" s="183">
        <v>319600</v>
      </c>
      <c r="C67" s="178">
        <v>1</v>
      </c>
    </row>
    <row r="68" spans="1:3">
      <c r="A68" s="144" t="s">
        <v>191</v>
      </c>
      <c r="B68" s="183">
        <v>244002.72999999998</v>
      </c>
      <c r="C68" s="178">
        <v>2</v>
      </c>
    </row>
    <row r="69" spans="1:3">
      <c r="A69" s="146">
        <v>2</v>
      </c>
      <c r="B69" s="183">
        <v>124000</v>
      </c>
      <c r="C69" s="178">
        <v>1</v>
      </c>
    </row>
    <row r="70" spans="1:3">
      <c r="A70" s="146">
        <v>3</v>
      </c>
      <c r="B70" s="183">
        <v>120002.73</v>
      </c>
      <c r="C70" s="178">
        <v>1</v>
      </c>
    </row>
    <row r="71" spans="1:3">
      <c r="A71" s="182" t="s">
        <v>287</v>
      </c>
      <c r="B71" s="183">
        <v>788790.99</v>
      </c>
      <c r="C71" s="178">
        <v>1</v>
      </c>
    </row>
    <row r="72" spans="1:3">
      <c r="A72" s="144" t="s">
        <v>422</v>
      </c>
      <c r="B72" s="183">
        <v>788790.99</v>
      </c>
      <c r="C72" s="178">
        <v>1</v>
      </c>
    </row>
    <row r="73" spans="1:3">
      <c r="A73" s="146">
        <v>1</v>
      </c>
      <c r="B73" s="183">
        <v>788790.99</v>
      </c>
      <c r="C73" s="178">
        <v>1</v>
      </c>
    </row>
    <row r="74" spans="1:3">
      <c r="A74" s="182" t="s">
        <v>49</v>
      </c>
      <c r="B74" s="183">
        <v>626531.66</v>
      </c>
      <c r="C74" s="178">
        <v>2</v>
      </c>
    </row>
    <row r="75" spans="1:3">
      <c r="A75" s="144" t="s">
        <v>53</v>
      </c>
      <c r="B75" s="183">
        <v>330816.82</v>
      </c>
      <c r="C75" s="178">
        <v>1</v>
      </c>
    </row>
    <row r="76" spans="1:3">
      <c r="A76" s="146">
        <v>2</v>
      </c>
      <c r="B76" s="183">
        <v>330816.82</v>
      </c>
      <c r="C76" s="178">
        <v>1</v>
      </c>
    </row>
    <row r="77" spans="1:3">
      <c r="A77" s="144" t="s">
        <v>423</v>
      </c>
      <c r="B77" s="183">
        <v>295714.84000000003</v>
      </c>
      <c r="C77" s="178">
        <v>1</v>
      </c>
    </row>
    <row r="78" spans="1:3">
      <c r="A78" s="146">
        <v>10</v>
      </c>
      <c r="B78" s="183">
        <v>295714.84000000003</v>
      </c>
      <c r="C78" s="178">
        <v>1</v>
      </c>
    </row>
    <row r="79" spans="1:3">
      <c r="A79" s="182" t="s">
        <v>70</v>
      </c>
      <c r="B79" s="183">
        <v>2050000</v>
      </c>
      <c r="C79" s="178">
        <v>1</v>
      </c>
    </row>
    <row r="80" spans="1:3">
      <c r="A80" s="144" t="s">
        <v>433</v>
      </c>
      <c r="B80" s="183">
        <v>2050000</v>
      </c>
      <c r="C80" s="178">
        <v>1</v>
      </c>
    </row>
    <row r="81" spans="1:3">
      <c r="A81" s="146">
        <v>6</v>
      </c>
      <c r="B81" s="183">
        <v>2050000</v>
      </c>
      <c r="C81" s="178">
        <v>1</v>
      </c>
    </row>
    <row r="82" spans="1:3">
      <c r="A82" s="182" t="s">
        <v>37</v>
      </c>
      <c r="B82" s="183">
        <v>1601502.18</v>
      </c>
      <c r="C82" s="178">
        <v>6</v>
      </c>
    </row>
    <row r="83" spans="1:3">
      <c r="A83" s="144" t="s">
        <v>208</v>
      </c>
      <c r="B83" s="183">
        <v>1601502.18</v>
      </c>
      <c r="C83" s="178">
        <v>6</v>
      </c>
    </row>
    <row r="84" spans="1:3">
      <c r="A84" s="146">
        <v>1</v>
      </c>
      <c r="B84" s="183">
        <v>258320</v>
      </c>
      <c r="C84" s="178">
        <v>1</v>
      </c>
    </row>
    <row r="85" spans="1:3">
      <c r="A85" s="146">
        <v>2</v>
      </c>
      <c r="B85" s="183">
        <v>242000</v>
      </c>
      <c r="C85" s="178">
        <v>1</v>
      </c>
    </row>
    <row r="86" spans="1:3">
      <c r="A86" s="146">
        <v>8</v>
      </c>
      <c r="B86" s="183">
        <v>255000</v>
      </c>
      <c r="C86" s="178">
        <v>1</v>
      </c>
    </row>
    <row r="87" spans="1:3">
      <c r="A87" s="146">
        <v>10</v>
      </c>
      <c r="B87" s="183">
        <v>846182.17999999993</v>
      </c>
      <c r="C87" s="178">
        <v>3</v>
      </c>
    </row>
    <row r="88" spans="1:3">
      <c r="A88" s="182" t="s">
        <v>268</v>
      </c>
      <c r="B88" s="183">
        <v>568250</v>
      </c>
      <c r="C88" s="178">
        <v>1</v>
      </c>
    </row>
    <row r="89" spans="1:3">
      <c r="A89" s="144" t="s">
        <v>89</v>
      </c>
      <c r="B89" s="183">
        <v>568250</v>
      </c>
      <c r="C89" s="178">
        <v>1</v>
      </c>
    </row>
    <row r="90" spans="1:3">
      <c r="A90" s="146">
        <v>6</v>
      </c>
      <c r="B90" s="183">
        <v>568250</v>
      </c>
      <c r="C90" s="178">
        <v>1</v>
      </c>
    </row>
    <row r="91" spans="1:3">
      <c r="A91" s="182" t="s">
        <v>65</v>
      </c>
      <c r="B91" s="183">
        <v>350816.02</v>
      </c>
      <c r="C91" s="178">
        <v>2</v>
      </c>
    </row>
    <row r="92" spans="1:3">
      <c r="A92" s="144" t="s">
        <v>191</v>
      </c>
      <c r="B92" s="183">
        <v>350816.02</v>
      </c>
      <c r="C92" s="178">
        <v>2</v>
      </c>
    </row>
    <row r="93" spans="1:3">
      <c r="A93" s="146">
        <v>6</v>
      </c>
      <c r="B93" s="183">
        <v>242141.02</v>
      </c>
      <c r="C93" s="178">
        <v>1</v>
      </c>
    </row>
    <row r="94" spans="1:3">
      <c r="A94" s="146">
        <v>11</v>
      </c>
      <c r="B94" s="183">
        <v>108675</v>
      </c>
      <c r="C94" s="178">
        <v>1</v>
      </c>
    </row>
    <row r="95" spans="1:3">
      <c r="A95" s="182" t="s">
        <v>47</v>
      </c>
      <c r="B95" s="183">
        <v>3474139.95</v>
      </c>
      <c r="C95" s="178">
        <v>5</v>
      </c>
    </row>
    <row r="96" spans="1:3">
      <c r="A96" s="144" t="s">
        <v>53</v>
      </c>
      <c r="B96" s="183">
        <v>3474139.95</v>
      </c>
      <c r="C96" s="178">
        <v>5</v>
      </c>
    </row>
    <row r="97" spans="1:3">
      <c r="A97" s="146">
        <v>2</v>
      </c>
      <c r="B97" s="183">
        <v>677040</v>
      </c>
      <c r="C97" s="178">
        <v>1</v>
      </c>
    </row>
    <row r="98" spans="1:3">
      <c r="A98" s="146">
        <v>3</v>
      </c>
      <c r="B98" s="183">
        <v>667999.94999999995</v>
      </c>
      <c r="C98" s="178">
        <v>1</v>
      </c>
    </row>
    <row r="99" spans="1:3">
      <c r="A99" s="146">
        <v>7</v>
      </c>
      <c r="B99" s="183">
        <v>1449100</v>
      </c>
      <c r="C99" s="178">
        <v>2</v>
      </c>
    </row>
    <row r="100" spans="1:3">
      <c r="A100" s="146">
        <v>11</v>
      </c>
      <c r="B100" s="183">
        <v>680000</v>
      </c>
      <c r="C100" s="178">
        <v>1</v>
      </c>
    </row>
    <row r="101" spans="1:3">
      <c r="A101" s="182" t="s">
        <v>307</v>
      </c>
      <c r="B101" s="183">
        <v>1798150</v>
      </c>
      <c r="C101" s="178">
        <v>5</v>
      </c>
    </row>
    <row r="102" spans="1:3">
      <c r="A102" s="144" t="s">
        <v>53</v>
      </c>
      <c r="B102" s="183">
        <v>727800</v>
      </c>
      <c r="C102" s="178">
        <v>1</v>
      </c>
    </row>
    <row r="103" spans="1:3">
      <c r="A103" s="146">
        <v>11</v>
      </c>
      <c r="B103" s="183">
        <v>727800</v>
      </c>
      <c r="C103" s="178">
        <v>1</v>
      </c>
    </row>
    <row r="104" spans="1:3">
      <c r="A104" s="144" t="s">
        <v>191</v>
      </c>
      <c r="B104" s="183">
        <v>126350</v>
      </c>
      <c r="C104" s="178">
        <v>1</v>
      </c>
    </row>
    <row r="105" spans="1:3">
      <c r="A105" s="146">
        <v>2</v>
      </c>
      <c r="B105" s="183">
        <v>126350</v>
      </c>
      <c r="C105" s="178">
        <v>1</v>
      </c>
    </row>
    <row r="106" spans="1:3">
      <c r="A106" s="144" t="s">
        <v>81</v>
      </c>
      <c r="B106" s="183">
        <v>944000</v>
      </c>
      <c r="C106" s="178">
        <v>3</v>
      </c>
    </row>
    <row r="107" spans="1:3">
      <c r="A107" s="146">
        <v>8</v>
      </c>
      <c r="B107" s="183">
        <v>424000</v>
      </c>
      <c r="C107" s="178">
        <v>2</v>
      </c>
    </row>
    <row r="108" spans="1:3">
      <c r="A108" s="146">
        <v>9</v>
      </c>
      <c r="B108" s="183">
        <v>520000</v>
      </c>
      <c r="C108" s="178">
        <v>1</v>
      </c>
    </row>
    <row r="109" spans="1:3">
      <c r="A109" s="182" t="s">
        <v>308</v>
      </c>
      <c r="B109" s="183">
        <v>2676128.2800000003</v>
      </c>
      <c r="C109" s="178">
        <v>4</v>
      </c>
    </row>
    <row r="110" spans="1:3">
      <c r="A110" s="144" t="s">
        <v>233</v>
      </c>
      <c r="B110" s="183">
        <v>374300</v>
      </c>
      <c r="C110" s="178">
        <v>1</v>
      </c>
    </row>
    <row r="111" spans="1:3">
      <c r="A111" s="146">
        <v>1</v>
      </c>
      <c r="B111" s="183">
        <v>374300</v>
      </c>
      <c r="C111" s="178">
        <v>1</v>
      </c>
    </row>
    <row r="112" spans="1:3">
      <c r="A112" s="144" t="s">
        <v>208</v>
      </c>
      <c r="B112" s="183">
        <v>246828.28</v>
      </c>
      <c r="C112" s="178">
        <v>2</v>
      </c>
    </row>
    <row r="113" spans="1:3">
      <c r="A113" s="146">
        <v>3</v>
      </c>
      <c r="B113" s="183">
        <v>246828.28</v>
      </c>
      <c r="C113" s="178">
        <v>2</v>
      </c>
    </row>
    <row r="114" spans="1:3">
      <c r="A114" s="144" t="s">
        <v>433</v>
      </c>
      <c r="B114" s="183">
        <v>2055000</v>
      </c>
      <c r="C114" s="178">
        <v>1</v>
      </c>
    </row>
    <row r="115" spans="1:3">
      <c r="A115" s="146">
        <v>4</v>
      </c>
      <c r="B115" s="183">
        <v>2055000</v>
      </c>
      <c r="C115" s="178">
        <v>1</v>
      </c>
    </row>
    <row r="116" spans="1:3">
      <c r="A116" s="182" t="s">
        <v>39</v>
      </c>
      <c r="B116" s="183">
        <v>1680774.25</v>
      </c>
      <c r="C116" s="178">
        <v>5</v>
      </c>
    </row>
    <row r="117" spans="1:3">
      <c r="A117" s="144" t="s">
        <v>427</v>
      </c>
      <c r="B117" s="183">
        <v>833126.26</v>
      </c>
      <c r="C117" s="178">
        <v>2</v>
      </c>
    </row>
    <row r="118" spans="1:3">
      <c r="A118" s="146">
        <v>11</v>
      </c>
      <c r="B118" s="183">
        <v>412919.26</v>
      </c>
      <c r="C118" s="178">
        <v>1</v>
      </c>
    </row>
    <row r="119" spans="1:3">
      <c r="A119" s="146">
        <v>12</v>
      </c>
      <c r="B119" s="183">
        <v>420207</v>
      </c>
      <c r="C119" s="178">
        <v>1</v>
      </c>
    </row>
    <row r="120" spans="1:3">
      <c r="A120" s="144" t="s">
        <v>208</v>
      </c>
      <c r="B120" s="183">
        <v>847647.99</v>
      </c>
      <c r="C120" s="178">
        <v>3</v>
      </c>
    </row>
    <row r="121" spans="1:3">
      <c r="A121" s="146">
        <v>1</v>
      </c>
      <c r="B121" s="183">
        <v>312776.49</v>
      </c>
      <c r="C121" s="178">
        <v>1</v>
      </c>
    </row>
    <row r="122" spans="1:3">
      <c r="A122" s="146">
        <v>4</v>
      </c>
      <c r="B122" s="183">
        <v>273871.5</v>
      </c>
      <c r="C122" s="178">
        <v>1</v>
      </c>
    </row>
    <row r="123" spans="1:3">
      <c r="A123" s="146">
        <v>8</v>
      </c>
      <c r="B123" s="183">
        <v>261000</v>
      </c>
      <c r="C123" s="178">
        <v>1</v>
      </c>
    </row>
    <row r="124" spans="1:3">
      <c r="A124" s="182" t="s">
        <v>40</v>
      </c>
      <c r="B124" s="183">
        <v>5576000</v>
      </c>
      <c r="C124" s="178">
        <v>7</v>
      </c>
    </row>
    <row r="125" spans="1:3">
      <c r="A125" s="144" t="s">
        <v>422</v>
      </c>
      <c r="B125" s="183">
        <v>5576000</v>
      </c>
      <c r="C125" s="178">
        <v>7</v>
      </c>
    </row>
    <row r="126" spans="1:3">
      <c r="A126" s="146">
        <v>2</v>
      </c>
      <c r="B126" s="183">
        <v>670000</v>
      </c>
      <c r="C126" s="178">
        <v>1</v>
      </c>
    </row>
    <row r="127" spans="1:3">
      <c r="A127" s="146">
        <v>3</v>
      </c>
      <c r="B127" s="183">
        <v>2336000</v>
      </c>
      <c r="C127" s="178">
        <v>3</v>
      </c>
    </row>
    <row r="128" spans="1:3">
      <c r="A128" s="146">
        <v>4</v>
      </c>
      <c r="B128" s="183">
        <v>880000</v>
      </c>
      <c r="C128" s="178">
        <v>1</v>
      </c>
    </row>
    <row r="129" spans="1:3">
      <c r="A129" s="146">
        <v>5</v>
      </c>
      <c r="B129" s="183">
        <v>850000</v>
      </c>
      <c r="C129" s="178">
        <v>1</v>
      </c>
    </row>
    <row r="130" spans="1:3">
      <c r="A130" s="146">
        <v>9</v>
      </c>
      <c r="B130" s="183">
        <v>840000</v>
      </c>
      <c r="C130" s="178">
        <v>1</v>
      </c>
    </row>
    <row r="131" spans="1:3">
      <c r="A131" s="182" t="s">
        <v>59</v>
      </c>
      <c r="B131" s="183">
        <v>1712309.56</v>
      </c>
      <c r="C131" s="178">
        <v>2</v>
      </c>
    </row>
    <row r="132" spans="1:3">
      <c r="A132" s="144" t="s">
        <v>422</v>
      </c>
      <c r="B132" s="183">
        <v>1712309.56</v>
      </c>
      <c r="C132" s="178">
        <v>2</v>
      </c>
    </row>
    <row r="133" spans="1:3">
      <c r="A133" s="146">
        <v>3</v>
      </c>
      <c r="B133" s="183">
        <v>850000</v>
      </c>
      <c r="C133" s="178">
        <v>1</v>
      </c>
    </row>
    <row r="134" spans="1:3">
      <c r="A134" s="146">
        <v>4</v>
      </c>
      <c r="B134" s="183">
        <v>862309.56</v>
      </c>
      <c r="C134" s="178">
        <v>1</v>
      </c>
    </row>
    <row r="135" spans="1:3">
      <c r="A135" s="182" t="s">
        <v>296</v>
      </c>
      <c r="B135" s="183">
        <v>974500</v>
      </c>
      <c r="C135" s="178">
        <v>3</v>
      </c>
    </row>
    <row r="136" spans="1:3">
      <c r="A136" s="144" t="s">
        <v>53</v>
      </c>
      <c r="B136" s="183">
        <v>612000</v>
      </c>
      <c r="C136" s="178">
        <v>1</v>
      </c>
    </row>
    <row r="137" spans="1:3">
      <c r="A137" s="146">
        <v>1</v>
      </c>
      <c r="B137" s="183">
        <v>612000</v>
      </c>
      <c r="C137" s="178">
        <v>1</v>
      </c>
    </row>
    <row r="138" spans="1:3">
      <c r="A138" s="144" t="s">
        <v>191</v>
      </c>
      <c r="B138" s="183">
        <v>362500</v>
      </c>
      <c r="C138" s="178">
        <v>2</v>
      </c>
    </row>
    <row r="139" spans="1:3">
      <c r="A139" s="146">
        <v>7</v>
      </c>
      <c r="B139" s="183">
        <v>125000</v>
      </c>
      <c r="C139" s="178">
        <v>1</v>
      </c>
    </row>
    <row r="140" spans="1:3">
      <c r="A140" s="146">
        <v>12</v>
      </c>
      <c r="B140" s="183">
        <v>237500</v>
      </c>
      <c r="C140" s="178">
        <v>1</v>
      </c>
    </row>
    <row r="141" spans="1:3">
      <c r="A141" s="182" t="s">
        <v>21</v>
      </c>
      <c r="B141" s="183">
        <v>453000.06</v>
      </c>
      <c r="C141" s="178">
        <v>1</v>
      </c>
    </row>
    <row r="142" spans="1:3">
      <c r="A142" s="144" t="s">
        <v>53</v>
      </c>
      <c r="B142" s="183">
        <v>453000.06</v>
      </c>
      <c r="C142" s="178">
        <v>1</v>
      </c>
    </row>
    <row r="143" spans="1:3">
      <c r="A143" s="146">
        <v>1</v>
      </c>
      <c r="B143" s="183">
        <v>453000.06</v>
      </c>
      <c r="C143" s="178">
        <v>1</v>
      </c>
    </row>
    <row r="144" spans="1:3">
      <c r="A144" s="182" t="s">
        <v>36</v>
      </c>
      <c r="B144" s="183">
        <v>2318729.9</v>
      </c>
      <c r="C144" s="178">
        <v>4</v>
      </c>
    </row>
    <row r="145" spans="1:3">
      <c r="A145" s="144" t="s">
        <v>53</v>
      </c>
      <c r="B145" s="183">
        <v>1866629.9</v>
      </c>
      <c r="C145" s="178">
        <v>3</v>
      </c>
    </row>
    <row r="146" spans="1:3">
      <c r="A146" s="146">
        <v>1</v>
      </c>
      <c r="B146" s="183">
        <v>641050</v>
      </c>
      <c r="C146" s="178">
        <v>1</v>
      </c>
    </row>
    <row r="147" spans="1:3">
      <c r="A147" s="146">
        <v>10</v>
      </c>
      <c r="B147" s="183">
        <v>521780</v>
      </c>
      <c r="C147" s="178">
        <v>1</v>
      </c>
    </row>
    <row r="148" spans="1:3">
      <c r="A148" s="146">
        <v>11</v>
      </c>
      <c r="B148" s="183">
        <v>703799.9</v>
      </c>
      <c r="C148" s="178">
        <v>1</v>
      </c>
    </row>
    <row r="149" spans="1:3">
      <c r="A149" s="144" t="s">
        <v>186</v>
      </c>
      <c r="B149" s="183">
        <v>452100</v>
      </c>
      <c r="C149" s="178">
        <v>1</v>
      </c>
    </row>
    <row r="150" spans="1:3">
      <c r="A150" s="146">
        <v>8</v>
      </c>
      <c r="B150" s="183">
        <v>452100</v>
      </c>
      <c r="C150" s="178">
        <v>1</v>
      </c>
    </row>
    <row r="151" spans="1:3">
      <c r="A151" s="182" t="s">
        <v>194</v>
      </c>
      <c r="B151" s="183">
        <v>2378255.7599999998</v>
      </c>
      <c r="C151" s="178">
        <v>5</v>
      </c>
    </row>
    <row r="152" spans="1:3">
      <c r="A152" s="144" t="s">
        <v>53</v>
      </c>
      <c r="B152" s="183">
        <v>1543493</v>
      </c>
      <c r="C152" s="178">
        <v>3</v>
      </c>
    </row>
    <row r="153" spans="1:3">
      <c r="A153" s="146">
        <v>3</v>
      </c>
      <c r="B153" s="183">
        <v>1000000</v>
      </c>
      <c r="C153" s="178">
        <v>2</v>
      </c>
    </row>
    <row r="154" spans="1:3">
      <c r="A154" s="146">
        <v>7</v>
      </c>
      <c r="B154" s="183">
        <v>543493</v>
      </c>
      <c r="C154" s="178">
        <v>1</v>
      </c>
    </row>
    <row r="155" spans="1:3">
      <c r="A155" s="144" t="s">
        <v>186</v>
      </c>
      <c r="B155" s="183">
        <v>834762.76</v>
      </c>
      <c r="C155" s="178">
        <v>2</v>
      </c>
    </row>
    <row r="156" spans="1:3">
      <c r="A156" s="146">
        <v>5</v>
      </c>
      <c r="B156" s="183">
        <v>834762.76</v>
      </c>
      <c r="C156" s="178">
        <v>2</v>
      </c>
    </row>
    <row r="157" spans="1:3">
      <c r="A157" s="182" t="s">
        <v>46</v>
      </c>
      <c r="B157" s="183">
        <v>595091.1</v>
      </c>
      <c r="C157" s="178">
        <v>1</v>
      </c>
    </row>
    <row r="158" spans="1:3">
      <c r="A158" s="144" t="s">
        <v>53</v>
      </c>
      <c r="B158" s="183">
        <v>595091.1</v>
      </c>
      <c r="C158" s="178">
        <v>1</v>
      </c>
    </row>
    <row r="159" spans="1:3">
      <c r="A159" s="146">
        <v>2</v>
      </c>
      <c r="B159" s="183">
        <v>595091.1</v>
      </c>
      <c r="C159" s="178">
        <v>1</v>
      </c>
    </row>
    <row r="160" spans="1:3">
      <c r="A160" s="182" t="s">
        <v>148</v>
      </c>
      <c r="B160" s="183">
        <v>1742045.2</v>
      </c>
      <c r="C160" s="178">
        <v>8</v>
      </c>
    </row>
    <row r="161" spans="1:3">
      <c r="A161" s="144" t="s">
        <v>191</v>
      </c>
      <c r="B161" s="183">
        <v>1742045.2</v>
      </c>
      <c r="C161" s="178">
        <v>8</v>
      </c>
    </row>
    <row r="162" spans="1:3">
      <c r="A162" s="146">
        <v>1</v>
      </c>
      <c r="B162" s="183">
        <v>470500</v>
      </c>
      <c r="C162" s="178">
        <v>2</v>
      </c>
    </row>
    <row r="163" spans="1:3">
      <c r="A163" s="146">
        <v>2</v>
      </c>
      <c r="B163" s="183">
        <v>240000</v>
      </c>
      <c r="C163" s="178">
        <v>1</v>
      </c>
    </row>
    <row r="164" spans="1:3">
      <c r="A164" s="146">
        <v>9</v>
      </c>
      <c r="B164" s="183">
        <v>206945.2</v>
      </c>
      <c r="C164" s="178">
        <v>1</v>
      </c>
    </row>
    <row r="165" spans="1:3">
      <c r="A165" s="146">
        <v>10</v>
      </c>
      <c r="B165" s="183">
        <v>264600</v>
      </c>
      <c r="C165" s="178">
        <v>1</v>
      </c>
    </row>
    <row r="166" spans="1:3">
      <c r="A166" s="146">
        <v>11</v>
      </c>
      <c r="B166" s="183">
        <v>560000</v>
      </c>
      <c r="C166" s="178">
        <v>3</v>
      </c>
    </row>
    <row r="167" spans="1:3">
      <c r="A167" s="182" t="s">
        <v>31</v>
      </c>
      <c r="B167" s="183">
        <v>628960.83000000007</v>
      </c>
      <c r="C167" s="178">
        <v>3</v>
      </c>
    </row>
    <row r="168" spans="1:3">
      <c r="A168" s="144" t="s">
        <v>230</v>
      </c>
      <c r="B168" s="183">
        <v>628960.83000000007</v>
      </c>
      <c r="C168" s="178">
        <v>3</v>
      </c>
    </row>
    <row r="169" spans="1:3">
      <c r="A169" s="146">
        <v>1</v>
      </c>
      <c r="B169" s="183">
        <v>193000.01</v>
      </c>
      <c r="C169" s="178">
        <v>1</v>
      </c>
    </row>
    <row r="170" spans="1:3">
      <c r="A170" s="146">
        <v>2</v>
      </c>
      <c r="B170" s="183">
        <v>195000</v>
      </c>
      <c r="C170" s="178">
        <v>1</v>
      </c>
    </row>
    <row r="171" spans="1:3">
      <c r="A171" s="146">
        <v>3</v>
      </c>
      <c r="B171" s="183">
        <v>240960.82</v>
      </c>
      <c r="C171" s="178">
        <v>1</v>
      </c>
    </row>
    <row r="172" spans="1:3">
      <c r="A172" s="182" t="s">
        <v>77</v>
      </c>
      <c r="B172" s="183">
        <v>2357052</v>
      </c>
      <c r="C172" s="178">
        <v>5</v>
      </c>
    </row>
    <row r="173" spans="1:3">
      <c r="A173" s="144" t="s">
        <v>53</v>
      </c>
      <c r="B173" s="183">
        <v>625000</v>
      </c>
      <c r="C173" s="178">
        <v>1</v>
      </c>
    </row>
    <row r="174" spans="1:3">
      <c r="A174" s="146">
        <v>5</v>
      </c>
      <c r="B174" s="183">
        <v>625000</v>
      </c>
      <c r="C174" s="178">
        <v>1</v>
      </c>
    </row>
    <row r="175" spans="1:3">
      <c r="A175" s="144" t="s">
        <v>186</v>
      </c>
      <c r="B175" s="183">
        <v>1732052</v>
      </c>
      <c r="C175" s="178">
        <v>4</v>
      </c>
    </row>
    <row r="176" spans="1:3">
      <c r="A176" s="146">
        <v>8</v>
      </c>
      <c r="B176" s="183">
        <v>869052</v>
      </c>
      <c r="C176" s="178">
        <v>2</v>
      </c>
    </row>
    <row r="177" spans="1:3">
      <c r="A177" s="146">
        <v>11</v>
      </c>
      <c r="B177" s="183">
        <v>863000</v>
      </c>
      <c r="C177" s="178">
        <v>2</v>
      </c>
    </row>
    <row r="178" spans="1:3">
      <c r="A178" s="182" t="s">
        <v>369</v>
      </c>
      <c r="B178" s="183">
        <v>485000</v>
      </c>
      <c r="C178" s="178">
        <v>1</v>
      </c>
    </row>
    <row r="179" spans="1:3">
      <c r="A179" s="144" t="s">
        <v>53</v>
      </c>
      <c r="B179" s="183">
        <v>485000</v>
      </c>
      <c r="C179" s="178">
        <v>1</v>
      </c>
    </row>
    <row r="180" spans="1:3">
      <c r="A180" s="146">
        <v>7</v>
      </c>
      <c r="B180" s="183">
        <v>485000</v>
      </c>
      <c r="C180" s="178">
        <v>1</v>
      </c>
    </row>
    <row r="181" spans="1:3">
      <c r="A181" s="182" t="s">
        <v>55</v>
      </c>
      <c r="B181" s="183">
        <v>448707.54</v>
      </c>
      <c r="C181" s="178">
        <v>2</v>
      </c>
    </row>
    <row r="182" spans="1:3">
      <c r="A182" s="144" t="s">
        <v>186</v>
      </c>
      <c r="B182" s="183">
        <v>448707.54</v>
      </c>
      <c r="C182" s="178">
        <v>2</v>
      </c>
    </row>
    <row r="183" spans="1:3">
      <c r="A183" s="146">
        <v>3</v>
      </c>
      <c r="B183" s="183">
        <v>448707.54</v>
      </c>
      <c r="C183" s="178">
        <v>2</v>
      </c>
    </row>
    <row r="184" spans="1:3">
      <c r="A184" s="182" t="s">
        <v>331</v>
      </c>
      <c r="B184" s="183">
        <v>225000</v>
      </c>
      <c r="C184" s="178">
        <v>1</v>
      </c>
    </row>
    <row r="185" spans="1:3">
      <c r="A185" s="144" t="s">
        <v>191</v>
      </c>
      <c r="B185" s="183">
        <v>225000</v>
      </c>
      <c r="C185" s="178">
        <v>1</v>
      </c>
    </row>
    <row r="186" spans="1:3">
      <c r="A186" s="146">
        <v>7</v>
      </c>
      <c r="B186" s="183">
        <v>225000</v>
      </c>
      <c r="C186" s="178">
        <v>1</v>
      </c>
    </row>
    <row r="187" spans="1:3">
      <c r="A187" s="182" t="s">
        <v>266</v>
      </c>
      <c r="B187" s="183">
        <v>1024841</v>
      </c>
      <c r="C187" s="178">
        <v>2</v>
      </c>
    </row>
    <row r="188" spans="1:3">
      <c r="A188" s="144" t="s">
        <v>81</v>
      </c>
      <c r="B188" s="183">
        <v>1024841</v>
      </c>
      <c r="C188" s="178">
        <v>2</v>
      </c>
    </row>
    <row r="189" spans="1:3">
      <c r="A189" s="146">
        <v>6</v>
      </c>
      <c r="B189" s="183">
        <v>1024841</v>
      </c>
      <c r="C189" s="178">
        <v>2</v>
      </c>
    </row>
    <row r="190" spans="1:3">
      <c r="A190" s="182" t="s">
        <v>337</v>
      </c>
      <c r="B190" s="183">
        <v>9032736.1500000004</v>
      </c>
      <c r="C190" s="178">
        <v>19</v>
      </c>
    </row>
    <row r="191" spans="1:3">
      <c r="A191" s="144" t="s">
        <v>182</v>
      </c>
      <c r="B191" s="183">
        <v>595683.02</v>
      </c>
      <c r="C191" s="178">
        <v>4</v>
      </c>
    </row>
    <row r="192" spans="1:3">
      <c r="A192" s="146">
        <v>5</v>
      </c>
      <c r="B192" s="183">
        <v>490000</v>
      </c>
      <c r="C192" s="178">
        <v>3</v>
      </c>
    </row>
    <row r="193" spans="1:3">
      <c r="A193" s="146">
        <v>7</v>
      </c>
      <c r="B193" s="183">
        <v>105683.02</v>
      </c>
      <c r="C193" s="178">
        <v>1</v>
      </c>
    </row>
    <row r="194" spans="1:3">
      <c r="A194" s="144" t="s">
        <v>122</v>
      </c>
      <c r="B194" s="183">
        <v>750000</v>
      </c>
      <c r="C194" s="178">
        <v>1</v>
      </c>
    </row>
    <row r="195" spans="1:3">
      <c r="A195" s="146">
        <v>3</v>
      </c>
      <c r="B195" s="183">
        <v>750000</v>
      </c>
      <c r="C195" s="178">
        <v>1</v>
      </c>
    </row>
    <row r="196" spans="1:3">
      <c r="A196" s="144" t="s">
        <v>186</v>
      </c>
      <c r="B196" s="183">
        <v>400000</v>
      </c>
      <c r="C196" s="178">
        <v>1</v>
      </c>
    </row>
    <row r="197" spans="1:3">
      <c r="A197" s="146">
        <v>9</v>
      </c>
      <c r="B197" s="183">
        <v>400000</v>
      </c>
      <c r="C197" s="178">
        <v>1</v>
      </c>
    </row>
    <row r="198" spans="1:3">
      <c r="A198" s="144" t="s">
        <v>382</v>
      </c>
      <c r="B198" s="183">
        <v>1150000</v>
      </c>
      <c r="C198" s="178">
        <v>1</v>
      </c>
    </row>
    <row r="199" spans="1:3">
      <c r="A199" s="146">
        <v>9</v>
      </c>
      <c r="B199" s="183">
        <v>1150000</v>
      </c>
      <c r="C199" s="178">
        <v>1</v>
      </c>
    </row>
    <row r="200" spans="1:3">
      <c r="A200" s="144" t="s">
        <v>422</v>
      </c>
      <c r="B200" s="183">
        <v>2530430.13</v>
      </c>
      <c r="C200" s="178">
        <v>3</v>
      </c>
    </row>
    <row r="201" spans="1:3">
      <c r="A201" s="146">
        <v>1</v>
      </c>
      <c r="B201" s="183">
        <v>1660430.13</v>
      </c>
      <c r="C201" s="178">
        <v>2</v>
      </c>
    </row>
    <row r="202" spans="1:3">
      <c r="A202" s="146">
        <v>4</v>
      </c>
      <c r="B202" s="183">
        <v>870000</v>
      </c>
      <c r="C202" s="178">
        <v>1</v>
      </c>
    </row>
    <row r="203" spans="1:3">
      <c r="A203" s="144" t="s">
        <v>415</v>
      </c>
      <c r="B203" s="183">
        <v>241500</v>
      </c>
      <c r="C203" s="178">
        <v>1</v>
      </c>
    </row>
    <row r="204" spans="1:3">
      <c r="A204" s="146">
        <v>10</v>
      </c>
      <c r="B204" s="183">
        <v>241500</v>
      </c>
      <c r="C204" s="178">
        <v>1</v>
      </c>
    </row>
    <row r="205" spans="1:3">
      <c r="A205" s="144" t="s">
        <v>191</v>
      </c>
      <c r="B205" s="183">
        <v>459545.91000000003</v>
      </c>
      <c r="C205" s="178">
        <v>2</v>
      </c>
    </row>
    <row r="206" spans="1:3">
      <c r="A206" s="146">
        <v>1</v>
      </c>
      <c r="B206" s="183">
        <v>210888.7</v>
      </c>
      <c r="C206" s="178">
        <v>1</v>
      </c>
    </row>
    <row r="207" spans="1:3">
      <c r="A207" s="146">
        <v>6</v>
      </c>
      <c r="B207" s="183">
        <v>248657.21</v>
      </c>
      <c r="C207" s="178">
        <v>1</v>
      </c>
    </row>
    <row r="208" spans="1:3">
      <c r="A208" s="144" t="s">
        <v>208</v>
      </c>
      <c r="B208" s="183">
        <v>290800</v>
      </c>
      <c r="C208" s="178">
        <v>1</v>
      </c>
    </row>
    <row r="209" spans="1:3">
      <c r="A209" s="146">
        <v>11</v>
      </c>
      <c r="B209" s="183">
        <v>290800</v>
      </c>
      <c r="C209" s="178">
        <v>1</v>
      </c>
    </row>
    <row r="210" spans="1:3">
      <c r="A210" s="144" t="s">
        <v>432</v>
      </c>
      <c r="B210" s="183">
        <v>400276</v>
      </c>
      <c r="C210" s="178">
        <v>2</v>
      </c>
    </row>
    <row r="211" spans="1:3">
      <c r="A211" s="146">
        <v>6</v>
      </c>
      <c r="B211" s="183">
        <v>185276</v>
      </c>
      <c r="C211" s="178">
        <v>1</v>
      </c>
    </row>
    <row r="212" spans="1:3">
      <c r="A212" s="146">
        <v>7</v>
      </c>
      <c r="B212" s="183">
        <v>215000</v>
      </c>
      <c r="C212" s="178">
        <v>1</v>
      </c>
    </row>
    <row r="213" spans="1:3">
      <c r="A213" s="144" t="s">
        <v>447</v>
      </c>
      <c r="B213" s="183">
        <v>920001.09</v>
      </c>
      <c r="C213" s="178">
        <v>1</v>
      </c>
    </row>
    <row r="214" spans="1:3">
      <c r="A214" s="146">
        <v>5</v>
      </c>
      <c r="B214" s="183">
        <v>920001.09</v>
      </c>
      <c r="C214" s="178">
        <v>1</v>
      </c>
    </row>
    <row r="215" spans="1:3">
      <c r="A215" s="144" t="s">
        <v>81</v>
      </c>
      <c r="B215" s="183">
        <v>434500</v>
      </c>
      <c r="C215" s="178">
        <v>1</v>
      </c>
    </row>
    <row r="216" spans="1:3">
      <c r="A216" s="146">
        <v>4</v>
      </c>
      <c r="B216" s="183">
        <v>434500</v>
      </c>
      <c r="C216" s="178">
        <v>1</v>
      </c>
    </row>
    <row r="217" spans="1:3">
      <c r="A217" s="144" t="s">
        <v>452</v>
      </c>
      <c r="B217" s="183">
        <v>860000</v>
      </c>
      <c r="C217" s="178">
        <v>1</v>
      </c>
    </row>
    <row r="218" spans="1:3">
      <c r="A218" s="146">
        <v>9</v>
      </c>
      <c r="B218" s="183">
        <v>860000</v>
      </c>
      <c r="C218" s="178">
        <v>1</v>
      </c>
    </row>
    <row r="219" spans="1:3">
      <c r="A219" s="182" t="s">
        <v>306</v>
      </c>
      <c r="B219" s="183">
        <v>898707.54</v>
      </c>
      <c r="C219" s="178">
        <v>3</v>
      </c>
    </row>
    <row r="220" spans="1:3">
      <c r="A220" s="144" t="s">
        <v>186</v>
      </c>
      <c r="B220" s="183">
        <v>448707.54</v>
      </c>
      <c r="C220" s="178">
        <v>2</v>
      </c>
    </row>
    <row r="221" spans="1:3">
      <c r="A221" s="146">
        <v>3</v>
      </c>
      <c r="B221" s="183">
        <v>448707.54</v>
      </c>
      <c r="C221" s="178">
        <v>2</v>
      </c>
    </row>
    <row r="222" spans="1:3">
      <c r="A222" s="144" t="s">
        <v>81</v>
      </c>
      <c r="B222" s="183">
        <v>450000</v>
      </c>
      <c r="C222" s="178">
        <v>1</v>
      </c>
    </row>
    <row r="223" spans="1:3">
      <c r="A223" s="146">
        <v>8</v>
      </c>
      <c r="B223" s="183">
        <v>450000</v>
      </c>
      <c r="C223" s="178">
        <v>1</v>
      </c>
    </row>
    <row r="224" spans="1:3">
      <c r="A224" s="182" t="s">
        <v>38</v>
      </c>
      <c r="B224" s="183">
        <v>1988807.42</v>
      </c>
      <c r="C224" s="178">
        <v>5</v>
      </c>
    </row>
    <row r="225" spans="1:3">
      <c r="A225" s="144" t="s">
        <v>53</v>
      </c>
      <c r="B225" s="183">
        <v>1988807.42</v>
      </c>
      <c r="C225" s="178">
        <v>5</v>
      </c>
    </row>
    <row r="226" spans="1:3">
      <c r="A226" s="146">
        <v>2</v>
      </c>
      <c r="B226" s="183">
        <v>825050.82000000007</v>
      </c>
      <c r="C226" s="178">
        <v>3</v>
      </c>
    </row>
    <row r="227" spans="1:3">
      <c r="A227" s="146">
        <v>4</v>
      </c>
      <c r="B227" s="183">
        <v>1163756.6000000001</v>
      </c>
      <c r="C227" s="178">
        <v>2</v>
      </c>
    </row>
    <row r="228" spans="1:3">
      <c r="A228" s="182" t="s">
        <v>78</v>
      </c>
      <c r="B228" s="183">
        <v>899700</v>
      </c>
      <c r="C228" s="178">
        <v>1</v>
      </c>
    </row>
    <row r="229" spans="1:3">
      <c r="A229" s="144" t="s">
        <v>53</v>
      </c>
      <c r="B229" s="183">
        <v>899700</v>
      </c>
      <c r="C229" s="178">
        <v>1</v>
      </c>
    </row>
    <row r="230" spans="1:3">
      <c r="A230" s="146">
        <v>3</v>
      </c>
      <c r="B230" s="183">
        <v>899700</v>
      </c>
      <c r="C230" s="178">
        <v>1</v>
      </c>
    </row>
    <row r="231" spans="1:3">
      <c r="A231" s="182" t="s">
        <v>104</v>
      </c>
      <c r="B231" s="183">
        <v>576268.43000000005</v>
      </c>
      <c r="C231" s="178">
        <v>2</v>
      </c>
    </row>
    <row r="232" spans="1:3">
      <c r="A232" s="144" t="s">
        <v>53</v>
      </c>
      <c r="B232" s="183">
        <v>576268.43000000005</v>
      </c>
      <c r="C232" s="178">
        <v>2</v>
      </c>
    </row>
    <row r="233" spans="1:3">
      <c r="A233" s="146">
        <v>8</v>
      </c>
      <c r="B233" s="183">
        <v>576268.43000000005</v>
      </c>
      <c r="C233" s="178">
        <v>2</v>
      </c>
    </row>
    <row r="234" spans="1:3">
      <c r="A234" s="182" t="s">
        <v>42</v>
      </c>
      <c r="B234" s="183">
        <v>244002.72999999998</v>
      </c>
      <c r="C234" s="178">
        <v>2</v>
      </c>
    </row>
    <row r="235" spans="1:3">
      <c r="A235" s="144" t="s">
        <v>191</v>
      </c>
      <c r="B235" s="183">
        <v>244002.72999999998</v>
      </c>
      <c r="C235" s="178">
        <v>2</v>
      </c>
    </row>
    <row r="236" spans="1:3">
      <c r="A236" s="146">
        <v>2</v>
      </c>
      <c r="B236" s="183">
        <v>124000</v>
      </c>
      <c r="C236" s="178">
        <v>1</v>
      </c>
    </row>
    <row r="237" spans="1:3">
      <c r="A237" s="146">
        <v>3</v>
      </c>
      <c r="B237" s="183">
        <v>120002.73</v>
      </c>
      <c r="C237" s="178">
        <v>1</v>
      </c>
    </row>
    <row r="238" spans="1:3">
      <c r="A238" s="182" t="s">
        <v>173</v>
      </c>
      <c r="B238" s="183">
        <v>5480000</v>
      </c>
      <c r="C238" s="178">
        <v>3</v>
      </c>
    </row>
    <row r="239" spans="1:3">
      <c r="A239" s="144" t="s">
        <v>89</v>
      </c>
      <c r="B239" s="183">
        <v>5480000</v>
      </c>
      <c r="C239" s="178">
        <v>3</v>
      </c>
    </row>
    <row r="240" spans="1:3">
      <c r="A240" s="146">
        <v>5</v>
      </c>
      <c r="B240" s="183">
        <v>3350000</v>
      </c>
      <c r="C240" s="178">
        <v>2</v>
      </c>
    </row>
    <row r="241" spans="1:3">
      <c r="A241" s="146">
        <v>9</v>
      </c>
      <c r="B241" s="183">
        <v>2130000</v>
      </c>
      <c r="C241" s="178">
        <v>1</v>
      </c>
    </row>
    <row r="242" spans="1:3">
      <c r="A242" s="182" t="s">
        <v>141</v>
      </c>
      <c r="B242" s="183">
        <v>519437.9</v>
      </c>
      <c r="C242" s="178">
        <v>2</v>
      </c>
    </row>
    <row r="243" spans="1:3">
      <c r="A243" s="144" t="s">
        <v>53</v>
      </c>
      <c r="B243" s="183">
        <v>519437.9</v>
      </c>
      <c r="C243" s="178">
        <v>2</v>
      </c>
    </row>
    <row r="244" spans="1:3">
      <c r="A244" s="146">
        <v>4</v>
      </c>
      <c r="B244" s="183">
        <v>519437.9</v>
      </c>
      <c r="C244" s="178">
        <v>2</v>
      </c>
    </row>
    <row r="245" spans="1:3">
      <c r="A245" s="182" t="s">
        <v>48</v>
      </c>
      <c r="B245" s="183">
        <v>1868346.03</v>
      </c>
      <c r="C245" s="178">
        <v>5</v>
      </c>
    </row>
    <row r="246" spans="1:3">
      <c r="A246" s="144" t="s">
        <v>233</v>
      </c>
      <c r="B246" s="183">
        <v>1868346.03</v>
      </c>
      <c r="C246" s="178">
        <v>5</v>
      </c>
    </row>
    <row r="247" spans="1:3">
      <c r="A247" s="146">
        <v>2</v>
      </c>
      <c r="B247" s="183">
        <v>364500</v>
      </c>
      <c r="C247" s="178">
        <v>1</v>
      </c>
    </row>
    <row r="248" spans="1:3">
      <c r="A248" s="146">
        <v>3</v>
      </c>
      <c r="B248" s="183">
        <v>1131746.03</v>
      </c>
      <c r="C248" s="178">
        <v>3</v>
      </c>
    </row>
    <row r="249" spans="1:3">
      <c r="A249" s="146">
        <v>9</v>
      </c>
      <c r="B249" s="183">
        <v>372100</v>
      </c>
      <c r="C249" s="178">
        <v>1</v>
      </c>
    </row>
    <row r="250" spans="1:3">
      <c r="A250" s="182" t="s">
        <v>196</v>
      </c>
      <c r="B250" s="183">
        <v>865196</v>
      </c>
      <c r="C250" s="178">
        <v>4</v>
      </c>
    </row>
    <row r="251" spans="1:3">
      <c r="A251" s="144" t="s">
        <v>53</v>
      </c>
      <c r="B251" s="183">
        <v>649696</v>
      </c>
      <c r="C251" s="178">
        <v>2</v>
      </c>
    </row>
    <row r="252" spans="1:3">
      <c r="A252" s="146">
        <v>4</v>
      </c>
      <c r="B252" s="183">
        <v>613400</v>
      </c>
      <c r="C252" s="178">
        <v>1</v>
      </c>
    </row>
    <row r="253" spans="1:3">
      <c r="A253" s="146">
        <v>9</v>
      </c>
      <c r="B253" s="183">
        <v>36296</v>
      </c>
      <c r="C253" s="178">
        <v>1</v>
      </c>
    </row>
    <row r="254" spans="1:3">
      <c r="A254" s="144" t="s">
        <v>191</v>
      </c>
      <c r="B254" s="183">
        <v>215500</v>
      </c>
      <c r="C254" s="178">
        <v>2</v>
      </c>
    </row>
    <row r="255" spans="1:3">
      <c r="A255" s="146">
        <v>5</v>
      </c>
      <c r="B255" s="183">
        <v>215500</v>
      </c>
      <c r="C255" s="178">
        <v>2</v>
      </c>
    </row>
    <row r="256" spans="1:3">
      <c r="A256" s="182" t="s">
        <v>56</v>
      </c>
      <c r="B256" s="183">
        <v>1634290</v>
      </c>
      <c r="C256" s="178">
        <v>3</v>
      </c>
    </row>
    <row r="257" spans="1:3">
      <c r="A257" s="144" t="s">
        <v>422</v>
      </c>
      <c r="B257" s="183">
        <v>1510000</v>
      </c>
      <c r="C257" s="178">
        <v>2</v>
      </c>
    </row>
    <row r="258" spans="1:3">
      <c r="A258" s="146">
        <v>3</v>
      </c>
      <c r="B258" s="183">
        <v>1510000</v>
      </c>
      <c r="C258" s="178">
        <v>2</v>
      </c>
    </row>
    <row r="259" spans="1:3">
      <c r="A259" s="144" t="s">
        <v>208</v>
      </c>
      <c r="B259" s="183">
        <v>124290</v>
      </c>
      <c r="C259" s="178">
        <v>1</v>
      </c>
    </row>
    <row r="260" spans="1:3">
      <c r="A260" s="146">
        <v>3</v>
      </c>
      <c r="B260" s="183">
        <v>124290</v>
      </c>
      <c r="C260" s="178">
        <v>1</v>
      </c>
    </row>
    <row r="261" spans="1:3">
      <c r="A261" s="182" t="s">
        <v>19</v>
      </c>
      <c r="B261" s="183">
        <v>4414292.6500000004</v>
      </c>
      <c r="C261" s="178">
        <v>22</v>
      </c>
    </row>
    <row r="262" spans="1:3">
      <c r="A262" s="144" t="s">
        <v>191</v>
      </c>
      <c r="B262" s="183">
        <v>4414292.6500000004</v>
      </c>
      <c r="C262" s="178">
        <v>22</v>
      </c>
    </row>
    <row r="263" spans="1:3">
      <c r="A263" s="146">
        <v>1</v>
      </c>
      <c r="B263" s="183">
        <v>746494.19</v>
      </c>
      <c r="C263" s="178">
        <v>4</v>
      </c>
    </row>
    <row r="264" spans="1:3">
      <c r="A264" s="146">
        <v>2</v>
      </c>
      <c r="B264" s="183">
        <v>890300</v>
      </c>
      <c r="C264" s="178">
        <v>4</v>
      </c>
    </row>
    <row r="265" spans="1:3">
      <c r="A265" s="146">
        <v>3</v>
      </c>
      <c r="B265" s="183">
        <v>450000</v>
      </c>
      <c r="C265" s="178">
        <v>2</v>
      </c>
    </row>
    <row r="266" spans="1:3">
      <c r="A266" s="146">
        <v>4</v>
      </c>
      <c r="B266" s="183">
        <v>455174.15</v>
      </c>
      <c r="C266" s="178">
        <v>2</v>
      </c>
    </row>
    <row r="267" spans="1:3">
      <c r="A267" s="146">
        <v>7</v>
      </c>
      <c r="B267" s="183">
        <v>464324.31</v>
      </c>
      <c r="C267" s="178">
        <v>3</v>
      </c>
    </row>
    <row r="268" spans="1:3">
      <c r="A268" s="146">
        <v>8</v>
      </c>
      <c r="B268" s="183">
        <v>450000</v>
      </c>
      <c r="C268" s="178">
        <v>2</v>
      </c>
    </row>
    <row r="269" spans="1:3">
      <c r="A269" s="146">
        <v>9</v>
      </c>
      <c r="B269" s="183">
        <v>195000</v>
      </c>
      <c r="C269" s="178">
        <v>1</v>
      </c>
    </row>
    <row r="270" spans="1:3">
      <c r="A270" s="146">
        <v>10</v>
      </c>
      <c r="B270" s="183">
        <v>447000</v>
      </c>
      <c r="C270" s="178">
        <v>2</v>
      </c>
    </row>
    <row r="271" spans="1:3">
      <c r="A271" s="146">
        <v>11</v>
      </c>
      <c r="B271" s="183">
        <v>316000</v>
      </c>
      <c r="C271" s="178">
        <v>2</v>
      </c>
    </row>
    <row r="272" spans="1:3">
      <c r="A272" s="182" t="s">
        <v>235</v>
      </c>
      <c r="B272" s="183">
        <v>1859639.21</v>
      </c>
      <c r="C272" s="178">
        <v>4</v>
      </c>
    </row>
    <row r="273" spans="1:3">
      <c r="A273" s="144" t="s">
        <v>53</v>
      </c>
      <c r="B273" s="183">
        <v>1342533</v>
      </c>
      <c r="C273" s="178">
        <v>2</v>
      </c>
    </row>
    <row r="274" spans="1:3">
      <c r="A274" s="146">
        <v>2</v>
      </c>
      <c r="B274" s="183">
        <v>643500</v>
      </c>
      <c r="C274" s="178">
        <v>1</v>
      </c>
    </row>
    <row r="275" spans="1:3">
      <c r="A275" s="146">
        <v>3</v>
      </c>
      <c r="B275" s="183">
        <v>699033</v>
      </c>
      <c r="C275" s="178">
        <v>1</v>
      </c>
    </row>
    <row r="276" spans="1:3">
      <c r="A276" s="144" t="s">
        <v>191</v>
      </c>
      <c r="B276" s="183">
        <v>250000</v>
      </c>
      <c r="C276" s="178">
        <v>1</v>
      </c>
    </row>
    <row r="277" spans="1:3">
      <c r="A277" s="146">
        <v>9</v>
      </c>
      <c r="B277" s="183">
        <v>250000</v>
      </c>
      <c r="C277" s="178">
        <v>1</v>
      </c>
    </row>
    <row r="278" spans="1:3">
      <c r="A278" s="144" t="s">
        <v>208</v>
      </c>
      <c r="B278" s="183">
        <v>267106.21000000002</v>
      </c>
      <c r="C278" s="178">
        <v>1</v>
      </c>
    </row>
    <row r="279" spans="1:3">
      <c r="A279" s="146">
        <v>1</v>
      </c>
      <c r="B279" s="183">
        <v>267106.21000000002</v>
      </c>
      <c r="C279" s="178">
        <v>1</v>
      </c>
    </row>
    <row r="280" spans="1:3">
      <c r="A280" s="182" t="s">
        <v>267</v>
      </c>
      <c r="B280" s="183">
        <v>568250</v>
      </c>
      <c r="C280" s="178">
        <v>1</v>
      </c>
    </row>
    <row r="281" spans="1:3">
      <c r="A281" s="144" t="s">
        <v>89</v>
      </c>
      <c r="B281" s="183">
        <v>568250</v>
      </c>
      <c r="C281" s="178">
        <v>1</v>
      </c>
    </row>
    <row r="282" spans="1:3">
      <c r="A282" s="146">
        <v>6</v>
      </c>
      <c r="B282" s="183">
        <v>568250</v>
      </c>
      <c r="C282" s="178">
        <v>1</v>
      </c>
    </row>
    <row r="283" spans="1:3">
      <c r="A283" s="182" t="s">
        <v>147</v>
      </c>
      <c r="B283" s="183">
        <v>371619.29</v>
      </c>
      <c r="C283" s="178">
        <v>1</v>
      </c>
    </row>
    <row r="284" spans="1:3">
      <c r="A284" s="144" t="s">
        <v>233</v>
      </c>
      <c r="B284" s="183">
        <v>371619.29</v>
      </c>
      <c r="C284" s="178">
        <v>1</v>
      </c>
    </row>
    <row r="285" spans="1:3">
      <c r="A285" s="146">
        <v>7</v>
      </c>
      <c r="B285" s="183">
        <v>371619.29</v>
      </c>
      <c r="C285" s="178">
        <v>1</v>
      </c>
    </row>
    <row r="286" spans="1:3">
      <c r="A286" s="182" t="s">
        <v>309</v>
      </c>
      <c r="B286" s="183">
        <v>6025391.4299999997</v>
      </c>
      <c r="C286" s="178">
        <v>4</v>
      </c>
    </row>
    <row r="287" spans="1:3">
      <c r="A287" s="144" t="s">
        <v>81</v>
      </c>
      <c r="B287" s="183">
        <v>1765391.4300000002</v>
      </c>
      <c r="C287" s="178">
        <v>2</v>
      </c>
    </row>
    <row r="288" spans="1:3">
      <c r="A288" s="146">
        <v>1</v>
      </c>
      <c r="B288" s="183">
        <v>865391.43</v>
      </c>
      <c r="C288" s="178">
        <v>1</v>
      </c>
    </row>
    <row r="289" spans="1:3">
      <c r="A289" s="146">
        <v>11</v>
      </c>
      <c r="B289" s="183">
        <v>900000</v>
      </c>
      <c r="C289" s="178">
        <v>1</v>
      </c>
    </row>
    <row r="290" spans="1:3">
      <c r="A290" s="144" t="s">
        <v>433</v>
      </c>
      <c r="B290" s="183">
        <v>4260000</v>
      </c>
      <c r="C290" s="178">
        <v>2</v>
      </c>
    </row>
    <row r="291" spans="1:3">
      <c r="A291" s="146">
        <v>3</v>
      </c>
      <c r="B291" s="183">
        <v>2050000</v>
      </c>
      <c r="C291" s="178">
        <v>1</v>
      </c>
    </row>
    <row r="292" spans="1:3">
      <c r="A292" s="146">
        <v>10</v>
      </c>
      <c r="B292" s="183">
        <v>2210000</v>
      </c>
      <c r="C292" s="178">
        <v>1</v>
      </c>
    </row>
    <row r="293" spans="1:3">
      <c r="A293" s="182" t="s">
        <v>16</v>
      </c>
      <c r="B293" s="183">
        <v>722123</v>
      </c>
      <c r="C293" s="178">
        <v>3</v>
      </c>
    </row>
    <row r="294" spans="1:3">
      <c r="A294" s="144" t="s">
        <v>208</v>
      </c>
      <c r="B294" s="183">
        <v>722123</v>
      </c>
      <c r="C294" s="178">
        <v>3</v>
      </c>
    </row>
    <row r="295" spans="1:3">
      <c r="A295" s="146">
        <v>1</v>
      </c>
      <c r="B295" s="183">
        <v>502123</v>
      </c>
      <c r="C295" s="178">
        <v>2</v>
      </c>
    </row>
    <row r="296" spans="1:3">
      <c r="A296" s="146">
        <v>2</v>
      </c>
      <c r="B296" s="183">
        <v>220000</v>
      </c>
      <c r="C296" s="178">
        <v>1</v>
      </c>
    </row>
    <row r="297" spans="1:3">
      <c r="A297" s="182" t="s">
        <v>372</v>
      </c>
      <c r="B297" s="183">
        <v>400000</v>
      </c>
      <c r="C297" s="178">
        <v>1</v>
      </c>
    </row>
    <row r="298" spans="1:3">
      <c r="A298" s="144" t="s">
        <v>81</v>
      </c>
      <c r="B298" s="183">
        <v>400000</v>
      </c>
      <c r="C298" s="178">
        <v>1</v>
      </c>
    </row>
    <row r="299" spans="1:3">
      <c r="A299" s="146">
        <v>8</v>
      </c>
      <c r="B299" s="183">
        <v>400000</v>
      </c>
      <c r="C299" s="178">
        <v>1</v>
      </c>
    </row>
    <row r="300" spans="1:3">
      <c r="A300" s="182" t="s">
        <v>43</v>
      </c>
      <c r="B300" s="183">
        <v>2901478.0300000003</v>
      </c>
      <c r="C300" s="178">
        <v>9</v>
      </c>
    </row>
    <row r="301" spans="1:3">
      <c r="A301" s="144" t="s">
        <v>53</v>
      </c>
      <c r="B301" s="183">
        <v>2395878.0300000003</v>
      </c>
      <c r="C301" s="178">
        <v>8</v>
      </c>
    </row>
    <row r="302" spans="1:3">
      <c r="A302" s="146">
        <v>2</v>
      </c>
      <c r="B302" s="183">
        <v>1111091</v>
      </c>
      <c r="C302" s="178">
        <v>3</v>
      </c>
    </row>
    <row r="303" spans="1:3">
      <c r="A303" s="146">
        <v>3</v>
      </c>
      <c r="B303" s="183">
        <v>34912.03</v>
      </c>
      <c r="C303" s="178">
        <v>1</v>
      </c>
    </row>
    <row r="304" spans="1:3">
      <c r="A304" s="146">
        <v>6</v>
      </c>
      <c r="B304" s="183">
        <v>630000</v>
      </c>
      <c r="C304" s="178">
        <v>1</v>
      </c>
    </row>
    <row r="305" spans="1:3">
      <c r="A305" s="146">
        <v>10</v>
      </c>
      <c r="B305" s="183">
        <v>33500</v>
      </c>
      <c r="C305" s="178">
        <v>1</v>
      </c>
    </row>
    <row r="306" spans="1:3">
      <c r="A306" s="146">
        <v>11</v>
      </c>
      <c r="B306" s="183">
        <v>36875</v>
      </c>
      <c r="C306" s="178">
        <v>1</v>
      </c>
    </row>
    <row r="307" spans="1:3">
      <c r="A307" s="146">
        <v>12</v>
      </c>
      <c r="B307" s="183">
        <v>549500</v>
      </c>
      <c r="C307" s="178">
        <v>1</v>
      </c>
    </row>
    <row r="308" spans="1:3">
      <c r="A308" s="144" t="s">
        <v>81</v>
      </c>
      <c r="B308" s="183">
        <v>505600</v>
      </c>
      <c r="C308" s="178">
        <v>1</v>
      </c>
    </row>
    <row r="309" spans="1:3">
      <c r="A309" s="146">
        <v>10</v>
      </c>
      <c r="B309" s="183">
        <v>505600</v>
      </c>
      <c r="C309" s="178">
        <v>1</v>
      </c>
    </row>
    <row r="310" spans="1:3">
      <c r="A310" s="182" t="s">
        <v>253</v>
      </c>
      <c r="B310" s="183">
        <v>1228464.5</v>
      </c>
      <c r="C310" s="178">
        <v>4</v>
      </c>
    </row>
    <row r="311" spans="1:3">
      <c r="A311" s="144" t="s">
        <v>208</v>
      </c>
      <c r="B311" s="183">
        <v>1228464.5</v>
      </c>
      <c r="C311" s="178">
        <v>4</v>
      </c>
    </row>
    <row r="312" spans="1:3">
      <c r="A312" s="146">
        <v>6</v>
      </c>
      <c r="B312" s="183">
        <v>333514.5</v>
      </c>
      <c r="C312" s="178">
        <v>1</v>
      </c>
    </row>
    <row r="313" spans="1:3">
      <c r="A313" s="146">
        <v>9</v>
      </c>
      <c r="B313" s="183">
        <v>894950</v>
      </c>
      <c r="C313" s="178">
        <v>3</v>
      </c>
    </row>
    <row r="314" spans="1:3">
      <c r="A314" s="182" t="s">
        <v>60</v>
      </c>
      <c r="B314" s="183">
        <v>505000</v>
      </c>
      <c r="C314" s="178">
        <v>1</v>
      </c>
    </row>
    <row r="315" spans="1:3">
      <c r="A315" s="144" t="s">
        <v>53</v>
      </c>
      <c r="B315" s="183">
        <v>505000</v>
      </c>
      <c r="C315" s="178">
        <v>1</v>
      </c>
    </row>
    <row r="316" spans="1:3">
      <c r="A316" s="146">
        <v>3</v>
      </c>
      <c r="B316" s="183">
        <v>505000</v>
      </c>
      <c r="C316" s="178">
        <v>1</v>
      </c>
    </row>
    <row r="317" spans="1:3">
      <c r="A317" s="182" t="s">
        <v>22</v>
      </c>
      <c r="B317" s="183">
        <v>453000.06</v>
      </c>
      <c r="C317" s="178">
        <v>1</v>
      </c>
    </row>
    <row r="318" spans="1:3">
      <c r="A318" s="144" t="s">
        <v>53</v>
      </c>
      <c r="B318" s="183">
        <v>453000.06</v>
      </c>
      <c r="C318" s="178">
        <v>1</v>
      </c>
    </row>
    <row r="319" spans="1:3">
      <c r="A319" s="146">
        <v>1</v>
      </c>
      <c r="B319" s="183">
        <v>453000.06</v>
      </c>
      <c r="C319" s="178">
        <v>1</v>
      </c>
    </row>
    <row r="320" spans="1:3">
      <c r="A320" s="182" t="s">
        <v>310</v>
      </c>
      <c r="B320" s="183">
        <v>1368529.12</v>
      </c>
      <c r="C320" s="178">
        <v>2</v>
      </c>
    </row>
    <row r="321" spans="1:3">
      <c r="A321" s="144" t="s">
        <v>81</v>
      </c>
      <c r="B321" s="183">
        <v>1368529.12</v>
      </c>
      <c r="C321" s="178">
        <v>2</v>
      </c>
    </row>
    <row r="322" spans="1:3">
      <c r="A322" s="146">
        <v>1</v>
      </c>
      <c r="B322" s="183">
        <v>885000</v>
      </c>
      <c r="C322" s="178">
        <v>1</v>
      </c>
    </row>
    <row r="323" spans="1:3">
      <c r="A323" s="146">
        <v>2</v>
      </c>
      <c r="B323" s="183">
        <v>483529.12</v>
      </c>
      <c r="C323" s="178">
        <v>1</v>
      </c>
    </row>
    <row r="324" spans="1:3">
      <c r="A324" s="182" t="s">
        <v>257</v>
      </c>
      <c r="B324" s="183">
        <v>400010.92</v>
      </c>
      <c r="C324" s="178">
        <v>1</v>
      </c>
    </row>
    <row r="325" spans="1:3">
      <c r="A325" s="144" t="s">
        <v>186</v>
      </c>
      <c r="B325" s="183">
        <v>400010.92</v>
      </c>
      <c r="C325" s="178">
        <v>1</v>
      </c>
    </row>
    <row r="326" spans="1:3">
      <c r="A326" s="146">
        <v>7</v>
      </c>
      <c r="B326" s="183">
        <v>400010.92</v>
      </c>
      <c r="C326" s="178">
        <v>1</v>
      </c>
    </row>
    <row r="327" spans="1:3">
      <c r="A327" s="182" t="s">
        <v>237</v>
      </c>
      <c r="B327" s="183">
        <v>252494.19</v>
      </c>
      <c r="C327" s="178">
        <v>2</v>
      </c>
    </row>
    <row r="328" spans="1:3">
      <c r="A328" s="144" t="s">
        <v>191</v>
      </c>
      <c r="B328" s="183">
        <v>252494.19</v>
      </c>
      <c r="C328" s="178">
        <v>2</v>
      </c>
    </row>
    <row r="329" spans="1:3">
      <c r="A329" s="146">
        <v>1</v>
      </c>
      <c r="B329" s="183">
        <v>122494.19</v>
      </c>
      <c r="C329" s="178">
        <v>1</v>
      </c>
    </row>
    <row r="330" spans="1:3">
      <c r="A330" s="146">
        <v>7</v>
      </c>
      <c r="B330" s="183">
        <v>130000</v>
      </c>
      <c r="C330" s="178">
        <v>1</v>
      </c>
    </row>
    <row r="331" spans="1:3">
      <c r="A331" s="182" t="s">
        <v>140</v>
      </c>
      <c r="B331" s="183">
        <v>407409</v>
      </c>
      <c r="C331" s="178">
        <v>1</v>
      </c>
    </row>
    <row r="332" spans="1:3">
      <c r="A332" s="144" t="s">
        <v>186</v>
      </c>
      <c r="B332" s="183">
        <v>407409</v>
      </c>
      <c r="C332" s="178">
        <v>1</v>
      </c>
    </row>
    <row r="333" spans="1:3">
      <c r="A333" s="146">
        <v>4</v>
      </c>
      <c r="B333" s="183">
        <v>407409</v>
      </c>
      <c r="C333" s="178">
        <v>1</v>
      </c>
    </row>
    <row r="334" spans="1:3">
      <c r="A334" s="182" t="s">
        <v>197</v>
      </c>
      <c r="B334" s="183">
        <v>780438.71</v>
      </c>
      <c r="C334" s="178">
        <v>3</v>
      </c>
    </row>
    <row r="335" spans="1:3">
      <c r="A335" s="144" t="s">
        <v>53</v>
      </c>
      <c r="B335" s="183">
        <v>265300</v>
      </c>
      <c r="C335" s="178">
        <v>1</v>
      </c>
    </row>
    <row r="336" spans="1:3">
      <c r="A336" s="146">
        <v>8</v>
      </c>
      <c r="B336" s="183">
        <v>265300</v>
      </c>
      <c r="C336" s="178">
        <v>1</v>
      </c>
    </row>
    <row r="337" spans="1:3">
      <c r="A337" s="144" t="s">
        <v>191</v>
      </c>
      <c r="B337" s="183">
        <v>515138.71</v>
      </c>
      <c r="C337" s="178">
        <v>2</v>
      </c>
    </row>
    <row r="338" spans="1:3">
      <c r="A338" s="146">
        <v>7</v>
      </c>
      <c r="B338" s="183">
        <v>275138.71000000002</v>
      </c>
      <c r="C338" s="178">
        <v>1</v>
      </c>
    </row>
    <row r="339" spans="1:3">
      <c r="A339" s="146">
        <v>12</v>
      </c>
      <c r="B339" s="183">
        <v>240000</v>
      </c>
      <c r="C339" s="178">
        <v>1</v>
      </c>
    </row>
    <row r="340" spans="1:3">
      <c r="A340" s="182" t="s">
        <v>198</v>
      </c>
      <c r="B340" s="183">
        <v>434712</v>
      </c>
      <c r="C340" s="178">
        <v>1</v>
      </c>
    </row>
    <row r="341" spans="1:3">
      <c r="A341" s="144" t="s">
        <v>186</v>
      </c>
      <c r="B341" s="183">
        <v>434712</v>
      </c>
      <c r="C341" s="178">
        <v>1</v>
      </c>
    </row>
    <row r="342" spans="1:3">
      <c r="A342" s="146">
        <v>7</v>
      </c>
      <c r="B342" s="183">
        <v>434712</v>
      </c>
      <c r="C342" s="178">
        <v>1</v>
      </c>
    </row>
    <row r="343" spans="1:3">
      <c r="A343" s="182" t="s">
        <v>50</v>
      </c>
      <c r="B343" s="183">
        <v>533699.48</v>
      </c>
      <c r="C343" s="178">
        <v>2</v>
      </c>
    </row>
    <row r="344" spans="1:3">
      <c r="A344" s="144" t="s">
        <v>53</v>
      </c>
      <c r="B344" s="183">
        <v>533699.48</v>
      </c>
      <c r="C344" s="178">
        <v>2</v>
      </c>
    </row>
    <row r="345" spans="1:3">
      <c r="A345" s="146">
        <v>2</v>
      </c>
      <c r="B345" s="183">
        <v>502256.48</v>
      </c>
      <c r="C345" s="178">
        <v>1</v>
      </c>
    </row>
    <row r="346" spans="1:3">
      <c r="A346" s="146">
        <v>3</v>
      </c>
      <c r="B346" s="183">
        <v>31443</v>
      </c>
      <c r="C346" s="178">
        <v>1</v>
      </c>
    </row>
    <row r="347" spans="1:3">
      <c r="A347" s="182" t="s">
        <v>367</v>
      </c>
      <c r="B347" s="183">
        <v>3893439.25</v>
      </c>
      <c r="C347" s="178">
        <v>3</v>
      </c>
    </row>
    <row r="348" spans="1:3">
      <c r="A348" s="144" t="s">
        <v>422</v>
      </c>
      <c r="B348" s="183">
        <v>1586639.25</v>
      </c>
      <c r="C348" s="178">
        <v>2</v>
      </c>
    </row>
    <row r="349" spans="1:3">
      <c r="A349" s="146">
        <v>7</v>
      </c>
      <c r="B349" s="183">
        <v>726639.25</v>
      </c>
      <c r="C349" s="178">
        <v>1</v>
      </c>
    </row>
    <row r="350" spans="1:3">
      <c r="A350" s="146">
        <v>8</v>
      </c>
      <c r="B350" s="183">
        <v>860000</v>
      </c>
      <c r="C350" s="178">
        <v>1</v>
      </c>
    </row>
    <row r="351" spans="1:3">
      <c r="A351" s="144" t="s">
        <v>433</v>
      </c>
      <c r="B351" s="183">
        <v>2306800</v>
      </c>
      <c r="C351" s="178">
        <v>1</v>
      </c>
    </row>
    <row r="352" spans="1:3">
      <c r="A352" s="146">
        <v>1</v>
      </c>
      <c r="B352" s="183">
        <v>2306800</v>
      </c>
      <c r="C352" s="178">
        <v>1</v>
      </c>
    </row>
    <row r="353" spans="1:3">
      <c r="A353" s="182" t="s">
        <v>334</v>
      </c>
      <c r="B353" s="183">
        <v>130000</v>
      </c>
      <c r="C353" s="178">
        <v>1</v>
      </c>
    </row>
    <row r="354" spans="1:3">
      <c r="A354" s="144" t="s">
        <v>208</v>
      </c>
      <c r="B354" s="183">
        <v>130000</v>
      </c>
      <c r="C354" s="178">
        <v>1</v>
      </c>
    </row>
    <row r="355" spans="1:3">
      <c r="A355" s="146">
        <v>7</v>
      </c>
      <c r="B355" s="183">
        <v>130000</v>
      </c>
      <c r="C355" s="178">
        <v>1</v>
      </c>
    </row>
    <row r="356" spans="1:3">
      <c r="A356" s="182" t="s">
        <v>239</v>
      </c>
      <c r="B356" s="183">
        <v>122538.28</v>
      </c>
      <c r="C356" s="178">
        <v>1</v>
      </c>
    </row>
    <row r="357" spans="1:3">
      <c r="A357" s="144" t="s">
        <v>208</v>
      </c>
      <c r="B357" s="183">
        <v>122538.28</v>
      </c>
      <c r="C357" s="178">
        <v>1</v>
      </c>
    </row>
    <row r="358" spans="1:3">
      <c r="A358" s="146">
        <v>3</v>
      </c>
      <c r="B358" s="183">
        <v>122538.28</v>
      </c>
      <c r="C358" s="178">
        <v>1</v>
      </c>
    </row>
    <row r="359" spans="1:3">
      <c r="A359" s="182" t="s">
        <v>313</v>
      </c>
      <c r="B359" s="183">
        <v>2610000</v>
      </c>
      <c r="C359" s="178">
        <v>2</v>
      </c>
    </row>
    <row r="360" spans="1:3">
      <c r="A360" s="144" t="s">
        <v>89</v>
      </c>
      <c r="B360" s="183">
        <v>2375000</v>
      </c>
      <c r="C360" s="178">
        <v>1</v>
      </c>
    </row>
    <row r="361" spans="1:3">
      <c r="A361" s="146">
        <v>8</v>
      </c>
      <c r="B361" s="183">
        <v>2375000</v>
      </c>
      <c r="C361" s="178">
        <v>1</v>
      </c>
    </row>
    <row r="362" spans="1:3">
      <c r="A362" s="144" t="s">
        <v>191</v>
      </c>
      <c r="B362" s="183">
        <v>235000</v>
      </c>
      <c r="C362" s="178">
        <v>1</v>
      </c>
    </row>
    <row r="363" spans="1:3">
      <c r="A363" s="146">
        <v>4</v>
      </c>
      <c r="B363" s="183">
        <v>235000</v>
      </c>
      <c r="C363" s="178">
        <v>1</v>
      </c>
    </row>
    <row r="364" spans="1:3">
      <c r="A364" s="182" t="s">
        <v>200</v>
      </c>
      <c r="B364" s="183">
        <v>415500</v>
      </c>
      <c r="C364" s="178">
        <v>3</v>
      </c>
    </row>
    <row r="365" spans="1:3">
      <c r="A365" s="144" t="s">
        <v>191</v>
      </c>
      <c r="B365" s="183">
        <v>415500</v>
      </c>
      <c r="C365" s="178">
        <v>3</v>
      </c>
    </row>
    <row r="366" spans="1:3">
      <c r="A366" s="146">
        <v>4</v>
      </c>
      <c r="B366" s="183">
        <v>200000</v>
      </c>
      <c r="C366" s="178">
        <v>1</v>
      </c>
    </row>
    <row r="367" spans="1:3">
      <c r="A367" s="146">
        <v>5</v>
      </c>
      <c r="B367" s="183">
        <v>215500</v>
      </c>
      <c r="C367" s="178">
        <v>2</v>
      </c>
    </row>
    <row r="368" spans="1:3">
      <c r="A368" s="182" t="s">
        <v>20</v>
      </c>
      <c r="B368" s="183">
        <v>2377110</v>
      </c>
      <c r="C368" s="178">
        <v>5</v>
      </c>
    </row>
    <row r="369" spans="1:3">
      <c r="A369" s="144" t="s">
        <v>53</v>
      </c>
      <c r="B369" s="183">
        <v>2124910</v>
      </c>
      <c r="C369" s="178">
        <v>4</v>
      </c>
    </row>
    <row r="370" spans="1:3">
      <c r="A370" s="146">
        <v>4</v>
      </c>
      <c r="B370" s="183">
        <v>1805310</v>
      </c>
      <c r="C370" s="178">
        <v>3</v>
      </c>
    </row>
    <row r="371" spans="1:3">
      <c r="A371" s="146">
        <v>8</v>
      </c>
      <c r="B371" s="183">
        <v>319600</v>
      </c>
      <c r="C371" s="178">
        <v>1</v>
      </c>
    </row>
    <row r="372" spans="1:3">
      <c r="A372" s="144" t="s">
        <v>208</v>
      </c>
      <c r="B372" s="183">
        <v>252200</v>
      </c>
      <c r="C372" s="178">
        <v>1</v>
      </c>
    </row>
    <row r="373" spans="1:3">
      <c r="A373" s="146">
        <v>1</v>
      </c>
      <c r="B373" s="183">
        <v>252200</v>
      </c>
      <c r="C373" s="178">
        <v>1</v>
      </c>
    </row>
    <row r="374" spans="1:3">
      <c r="A374" s="182" t="s">
        <v>262</v>
      </c>
      <c r="B374" s="183">
        <v>2003671.99</v>
      </c>
      <c r="C374" s="178">
        <v>6</v>
      </c>
    </row>
    <row r="375" spans="1:3">
      <c r="A375" s="144" t="s">
        <v>233</v>
      </c>
      <c r="B375" s="183">
        <v>1761831.99</v>
      </c>
      <c r="C375" s="178">
        <v>5</v>
      </c>
    </row>
    <row r="376" spans="1:3">
      <c r="A376" s="146">
        <v>1</v>
      </c>
      <c r="B376" s="183">
        <v>686832</v>
      </c>
      <c r="C376" s="178">
        <v>2</v>
      </c>
    </row>
    <row r="377" spans="1:3">
      <c r="A377" s="146">
        <v>9</v>
      </c>
      <c r="B377" s="183">
        <v>340000</v>
      </c>
      <c r="C377" s="178">
        <v>1</v>
      </c>
    </row>
    <row r="378" spans="1:3">
      <c r="A378" s="146">
        <v>11</v>
      </c>
      <c r="B378" s="183">
        <v>385000</v>
      </c>
      <c r="C378" s="178">
        <v>1</v>
      </c>
    </row>
    <row r="379" spans="1:3">
      <c r="A379" s="146">
        <v>12</v>
      </c>
      <c r="B379" s="183">
        <v>349999.99</v>
      </c>
      <c r="C379" s="178">
        <v>1</v>
      </c>
    </row>
    <row r="380" spans="1:3">
      <c r="A380" s="144" t="s">
        <v>208</v>
      </c>
      <c r="B380" s="183">
        <v>241840</v>
      </c>
      <c r="C380" s="178">
        <v>1</v>
      </c>
    </row>
    <row r="381" spans="1:3">
      <c r="A381" s="146">
        <v>6</v>
      </c>
      <c r="B381" s="183">
        <v>241840</v>
      </c>
      <c r="C381" s="178">
        <v>1</v>
      </c>
    </row>
    <row r="382" spans="1:3">
      <c r="A382" s="182" t="s">
        <v>44</v>
      </c>
      <c r="B382" s="183">
        <v>2839447.9400000004</v>
      </c>
      <c r="C382" s="178">
        <v>6</v>
      </c>
    </row>
    <row r="383" spans="1:3">
      <c r="A383" s="144" t="s">
        <v>53</v>
      </c>
      <c r="B383" s="183">
        <v>2584347.9400000004</v>
      </c>
      <c r="C383" s="178">
        <v>5</v>
      </c>
    </row>
    <row r="384" spans="1:3">
      <c r="A384" s="146">
        <v>2</v>
      </c>
      <c r="B384" s="183">
        <v>636000</v>
      </c>
      <c r="C384" s="178">
        <v>1</v>
      </c>
    </row>
    <row r="385" spans="1:3">
      <c r="A385" s="146">
        <v>5</v>
      </c>
      <c r="B385" s="183">
        <v>1222374.4100000001</v>
      </c>
      <c r="C385" s="178">
        <v>3</v>
      </c>
    </row>
    <row r="386" spans="1:3">
      <c r="A386" s="146">
        <v>9</v>
      </c>
      <c r="B386" s="183">
        <v>725973.53</v>
      </c>
      <c r="C386" s="178">
        <v>1</v>
      </c>
    </row>
    <row r="387" spans="1:3">
      <c r="A387" s="144" t="s">
        <v>208</v>
      </c>
      <c r="B387" s="183">
        <v>255100</v>
      </c>
      <c r="C387" s="178">
        <v>1</v>
      </c>
    </row>
    <row r="388" spans="1:3">
      <c r="A388" s="146">
        <v>4</v>
      </c>
      <c r="B388" s="183">
        <v>255100</v>
      </c>
      <c r="C388" s="178">
        <v>1</v>
      </c>
    </row>
    <row r="389" spans="1:3">
      <c r="A389" s="182" t="s">
        <v>128</v>
      </c>
      <c r="B389" s="183">
        <v>1080000</v>
      </c>
      <c r="C389" s="178">
        <v>1</v>
      </c>
    </row>
    <row r="390" spans="1:3">
      <c r="A390" s="144" t="s">
        <v>89</v>
      </c>
      <c r="B390" s="183">
        <v>1080000</v>
      </c>
      <c r="C390" s="178">
        <v>1</v>
      </c>
    </row>
    <row r="391" spans="1:3">
      <c r="A391" s="146">
        <v>4</v>
      </c>
      <c r="B391" s="183">
        <v>1080000</v>
      </c>
      <c r="C391" s="178">
        <v>1</v>
      </c>
    </row>
    <row r="392" spans="1:3">
      <c r="A392" s="182" t="s">
        <v>34</v>
      </c>
      <c r="B392" s="183">
        <v>1938000.22</v>
      </c>
      <c r="C392" s="178">
        <v>3</v>
      </c>
    </row>
    <row r="393" spans="1:3">
      <c r="A393" s="144" t="s">
        <v>422</v>
      </c>
      <c r="B393" s="183">
        <v>1710000.22</v>
      </c>
      <c r="C393" s="178">
        <v>2</v>
      </c>
    </row>
    <row r="394" spans="1:3">
      <c r="A394" s="146">
        <v>1</v>
      </c>
      <c r="B394" s="183">
        <v>830000.22</v>
      </c>
      <c r="C394" s="178">
        <v>1</v>
      </c>
    </row>
    <row r="395" spans="1:3">
      <c r="A395" s="146">
        <v>5</v>
      </c>
      <c r="B395" s="183">
        <v>880000</v>
      </c>
      <c r="C395" s="178">
        <v>1</v>
      </c>
    </row>
    <row r="396" spans="1:3">
      <c r="A396" s="144" t="s">
        <v>191</v>
      </c>
      <c r="B396" s="183">
        <v>228000</v>
      </c>
      <c r="C396" s="178">
        <v>1</v>
      </c>
    </row>
    <row r="397" spans="1:3">
      <c r="A397" s="146">
        <v>6</v>
      </c>
      <c r="B397" s="183">
        <v>228000</v>
      </c>
      <c r="C397" s="178">
        <v>1</v>
      </c>
    </row>
    <row r="398" spans="1:3">
      <c r="A398" s="182" t="s">
        <v>52</v>
      </c>
      <c r="B398" s="183">
        <v>4490000</v>
      </c>
      <c r="C398" s="178">
        <v>2</v>
      </c>
    </row>
    <row r="399" spans="1:3">
      <c r="A399" s="144" t="s">
        <v>89</v>
      </c>
      <c r="B399" s="183">
        <v>4490000</v>
      </c>
      <c r="C399" s="178">
        <v>2</v>
      </c>
    </row>
    <row r="400" spans="1:3">
      <c r="A400" s="146">
        <v>2</v>
      </c>
      <c r="B400" s="183">
        <v>2190000</v>
      </c>
      <c r="C400" s="178">
        <v>1</v>
      </c>
    </row>
    <row r="401" spans="1:3">
      <c r="A401" s="146">
        <v>6</v>
      </c>
      <c r="B401" s="183">
        <v>2300000</v>
      </c>
      <c r="C401" s="178">
        <v>1</v>
      </c>
    </row>
    <row r="402" spans="1:3">
      <c r="A402" s="182" t="s">
        <v>84</v>
      </c>
      <c r="B402" s="183">
        <v>510040.77</v>
      </c>
      <c r="C402" s="178">
        <v>1</v>
      </c>
    </row>
    <row r="403" spans="1:3">
      <c r="A403" s="144" t="s">
        <v>81</v>
      </c>
      <c r="B403" s="183">
        <v>510040.77</v>
      </c>
      <c r="C403" s="178">
        <v>1</v>
      </c>
    </row>
    <row r="404" spans="1:3">
      <c r="A404" s="146">
        <v>4</v>
      </c>
      <c r="B404" s="183">
        <v>510040.77</v>
      </c>
      <c r="C404" s="178">
        <v>1</v>
      </c>
    </row>
    <row r="405" spans="1:3">
      <c r="A405" s="182" t="s">
        <v>375</v>
      </c>
      <c r="B405" s="183">
        <v>1149000</v>
      </c>
      <c r="C405" s="178">
        <v>5</v>
      </c>
    </row>
    <row r="406" spans="1:3">
      <c r="A406" s="144" t="s">
        <v>191</v>
      </c>
      <c r="B406" s="183">
        <v>1149000</v>
      </c>
      <c r="C406" s="178">
        <v>5</v>
      </c>
    </row>
    <row r="407" spans="1:3">
      <c r="A407" s="146">
        <v>8</v>
      </c>
      <c r="B407" s="183">
        <v>495000</v>
      </c>
      <c r="C407" s="178">
        <v>2</v>
      </c>
    </row>
    <row r="408" spans="1:3">
      <c r="A408" s="146">
        <v>11</v>
      </c>
      <c r="B408" s="183">
        <v>654000</v>
      </c>
      <c r="C408" s="178">
        <v>3</v>
      </c>
    </row>
    <row r="409" spans="1:3">
      <c r="A409" s="182" t="s">
        <v>129</v>
      </c>
      <c r="B409" s="183">
        <v>664800</v>
      </c>
      <c r="C409" s="178">
        <v>2</v>
      </c>
    </row>
    <row r="410" spans="1:3">
      <c r="A410" s="144" t="s">
        <v>186</v>
      </c>
      <c r="B410" s="183">
        <v>400000</v>
      </c>
      <c r="C410" s="178">
        <v>1</v>
      </c>
    </row>
    <row r="411" spans="1:3">
      <c r="A411" s="146">
        <v>8</v>
      </c>
      <c r="B411" s="183">
        <v>400000</v>
      </c>
      <c r="C411" s="178">
        <v>1</v>
      </c>
    </row>
    <row r="412" spans="1:3">
      <c r="A412" s="144" t="s">
        <v>208</v>
      </c>
      <c r="B412" s="183">
        <v>264800</v>
      </c>
      <c r="C412" s="178">
        <v>1</v>
      </c>
    </row>
    <row r="413" spans="1:3">
      <c r="A413" s="146">
        <v>4</v>
      </c>
      <c r="B413" s="183">
        <v>264800</v>
      </c>
      <c r="C413" s="178">
        <v>1</v>
      </c>
    </row>
    <row r="414" spans="1:3">
      <c r="A414" s="182" t="s">
        <v>379</v>
      </c>
      <c r="B414" s="183">
        <v>436000</v>
      </c>
      <c r="C414" s="178">
        <v>1</v>
      </c>
    </row>
    <row r="415" spans="1:3">
      <c r="A415" s="144" t="s">
        <v>429</v>
      </c>
      <c r="B415" s="183">
        <v>436000</v>
      </c>
      <c r="C415" s="178">
        <v>1</v>
      </c>
    </row>
    <row r="416" spans="1:3">
      <c r="A416" s="146">
        <v>8</v>
      </c>
      <c r="B416" s="183">
        <v>436000</v>
      </c>
      <c r="C416" s="178">
        <v>1</v>
      </c>
    </row>
    <row r="417" spans="1:3">
      <c r="A417" s="182" t="s">
        <v>381</v>
      </c>
      <c r="B417" s="183">
        <v>1088106</v>
      </c>
      <c r="C417" s="178">
        <v>3</v>
      </c>
    </row>
    <row r="418" spans="1:3">
      <c r="A418" s="144" t="s">
        <v>233</v>
      </c>
      <c r="B418" s="183">
        <v>1088106</v>
      </c>
      <c r="C418" s="178">
        <v>3</v>
      </c>
    </row>
    <row r="419" spans="1:3">
      <c r="A419" s="146">
        <v>9</v>
      </c>
      <c r="B419" s="183">
        <v>711626</v>
      </c>
      <c r="C419" s="178">
        <v>2</v>
      </c>
    </row>
    <row r="420" spans="1:3">
      <c r="A420" s="146">
        <v>10</v>
      </c>
      <c r="B420" s="183">
        <v>376480</v>
      </c>
      <c r="C420" s="178">
        <v>1</v>
      </c>
    </row>
    <row r="421" spans="1:3">
      <c r="A421" s="182" t="s">
        <v>384</v>
      </c>
      <c r="B421" s="183">
        <v>576932.80000000005</v>
      </c>
      <c r="C421" s="178">
        <v>3</v>
      </c>
    </row>
    <row r="422" spans="1:3">
      <c r="A422" s="144" t="s">
        <v>191</v>
      </c>
      <c r="B422" s="183">
        <v>576932.80000000005</v>
      </c>
      <c r="C422" s="178">
        <v>3</v>
      </c>
    </row>
    <row r="423" spans="1:3">
      <c r="A423" s="146">
        <v>1</v>
      </c>
      <c r="B423" s="183">
        <v>221657.8</v>
      </c>
      <c r="C423" s="178">
        <v>1</v>
      </c>
    </row>
    <row r="424" spans="1:3">
      <c r="A424" s="146">
        <v>10</v>
      </c>
      <c r="B424" s="183">
        <v>246600</v>
      </c>
      <c r="C424" s="178">
        <v>1</v>
      </c>
    </row>
    <row r="425" spans="1:3">
      <c r="A425" s="146">
        <v>11</v>
      </c>
      <c r="B425" s="183">
        <v>108675</v>
      </c>
      <c r="C425" s="178">
        <v>1</v>
      </c>
    </row>
    <row r="426" spans="1:3">
      <c r="A426" s="182" t="s">
        <v>456</v>
      </c>
      <c r="B426" s="183">
        <v>888111.76</v>
      </c>
      <c r="C426" s="178">
        <v>2</v>
      </c>
    </row>
    <row r="427" spans="1:3">
      <c r="A427" s="144" t="s">
        <v>427</v>
      </c>
      <c r="B427" s="183">
        <v>888111.76</v>
      </c>
      <c r="C427" s="178">
        <v>2</v>
      </c>
    </row>
    <row r="428" spans="1:3">
      <c r="A428" s="146">
        <v>10</v>
      </c>
      <c r="B428" s="183">
        <v>888111.76</v>
      </c>
      <c r="C428" s="178">
        <v>2</v>
      </c>
    </row>
    <row r="429" spans="1:3">
      <c r="A429" s="182" t="s">
        <v>459</v>
      </c>
      <c r="B429" s="183">
        <v>443277.5</v>
      </c>
      <c r="C429" s="178">
        <v>1</v>
      </c>
    </row>
    <row r="430" spans="1:3">
      <c r="A430" s="144" t="s">
        <v>186</v>
      </c>
      <c r="B430" s="183">
        <v>443277.5</v>
      </c>
      <c r="C430" s="178">
        <v>1</v>
      </c>
    </row>
    <row r="431" spans="1:3">
      <c r="A431" s="146">
        <v>10</v>
      </c>
      <c r="B431" s="183">
        <v>443277.5</v>
      </c>
      <c r="C431" s="178">
        <v>1</v>
      </c>
    </row>
    <row r="432" spans="1:3">
      <c r="A432" s="182" t="s">
        <v>461</v>
      </c>
      <c r="B432" s="183">
        <v>2488143.5350000001</v>
      </c>
      <c r="C432" s="178">
        <v>2</v>
      </c>
    </row>
    <row r="433" spans="1:3">
      <c r="A433" s="144" t="s">
        <v>191</v>
      </c>
      <c r="B433" s="183">
        <v>109143.535</v>
      </c>
      <c r="C433" s="178">
        <v>1</v>
      </c>
    </row>
    <row r="434" spans="1:3">
      <c r="A434" s="146">
        <v>1</v>
      </c>
      <c r="B434" s="183">
        <v>109143.535</v>
      </c>
      <c r="C434" s="178">
        <v>1</v>
      </c>
    </row>
    <row r="435" spans="1:3">
      <c r="A435" s="144" t="s">
        <v>433</v>
      </c>
      <c r="B435" s="183">
        <v>2379000</v>
      </c>
      <c r="C435" s="178">
        <v>1</v>
      </c>
    </row>
    <row r="436" spans="1:3">
      <c r="A436" s="146">
        <v>10</v>
      </c>
      <c r="B436" s="183">
        <v>2379000</v>
      </c>
      <c r="C436" s="178">
        <v>1</v>
      </c>
    </row>
    <row r="437" spans="1:3">
      <c r="A437" s="182" t="s">
        <v>462</v>
      </c>
      <c r="B437" s="183">
        <v>256323.95</v>
      </c>
      <c r="C437" s="178">
        <v>1</v>
      </c>
    </row>
    <row r="438" spans="1:3">
      <c r="A438" s="144" t="s">
        <v>208</v>
      </c>
      <c r="B438" s="183">
        <v>256323.95</v>
      </c>
      <c r="C438" s="178">
        <v>1</v>
      </c>
    </row>
    <row r="439" spans="1:3">
      <c r="A439" s="146">
        <v>10</v>
      </c>
      <c r="B439" s="183">
        <v>256323.95</v>
      </c>
      <c r="C439" s="178">
        <v>1</v>
      </c>
    </row>
    <row r="440" spans="1:3">
      <c r="A440" s="182" t="s">
        <v>465</v>
      </c>
      <c r="B440" s="183">
        <v>19674942.969999999</v>
      </c>
      <c r="C440" s="178">
        <v>45</v>
      </c>
    </row>
    <row r="441" spans="1:3">
      <c r="A441" s="144" t="s">
        <v>230</v>
      </c>
      <c r="B441" s="183">
        <v>635000</v>
      </c>
      <c r="C441" s="178">
        <v>2</v>
      </c>
    </row>
    <row r="442" spans="1:3">
      <c r="A442" s="146">
        <v>1</v>
      </c>
      <c r="B442" s="183">
        <v>235000</v>
      </c>
      <c r="C442" s="178">
        <v>1</v>
      </c>
    </row>
    <row r="443" spans="1:3">
      <c r="A443" s="146">
        <v>4</v>
      </c>
      <c r="B443" s="183">
        <v>400000</v>
      </c>
      <c r="C443" s="178">
        <v>1</v>
      </c>
    </row>
    <row r="444" spans="1:3">
      <c r="A444" s="144" t="s">
        <v>182</v>
      </c>
      <c r="B444" s="183">
        <v>210683.02000000002</v>
      </c>
      <c r="C444" s="178">
        <v>2</v>
      </c>
    </row>
    <row r="445" spans="1:3">
      <c r="A445" s="146">
        <v>5</v>
      </c>
      <c r="B445" s="183">
        <v>105000</v>
      </c>
      <c r="C445" s="178">
        <v>1</v>
      </c>
    </row>
    <row r="446" spans="1:3">
      <c r="A446" s="146">
        <v>7</v>
      </c>
      <c r="B446" s="183">
        <v>105683.02</v>
      </c>
      <c r="C446" s="178">
        <v>1</v>
      </c>
    </row>
    <row r="447" spans="1:3">
      <c r="A447" s="144" t="s">
        <v>53</v>
      </c>
      <c r="B447" s="183">
        <v>879628.35</v>
      </c>
      <c r="C447" s="178">
        <v>1</v>
      </c>
    </row>
    <row r="448" spans="1:3">
      <c r="A448" s="146">
        <v>2</v>
      </c>
      <c r="B448" s="183">
        <v>879628.35</v>
      </c>
      <c r="C448" s="178">
        <v>1</v>
      </c>
    </row>
    <row r="449" spans="1:3">
      <c r="A449" s="144" t="s">
        <v>122</v>
      </c>
      <c r="B449" s="183">
        <v>587000</v>
      </c>
      <c r="C449" s="178">
        <v>1</v>
      </c>
    </row>
    <row r="450" spans="1:3">
      <c r="A450" s="146">
        <v>10</v>
      </c>
      <c r="B450" s="183">
        <v>587000</v>
      </c>
      <c r="C450" s="178">
        <v>1</v>
      </c>
    </row>
    <row r="451" spans="1:3">
      <c r="A451" s="144" t="s">
        <v>186</v>
      </c>
      <c r="B451" s="183">
        <v>4230942.8600000003</v>
      </c>
      <c r="C451" s="178">
        <v>18</v>
      </c>
    </row>
    <row r="452" spans="1:3">
      <c r="A452" s="146">
        <v>10</v>
      </c>
      <c r="B452" s="183">
        <v>3340827.3200000003</v>
      </c>
      <c r="C452" s="178">
        <v>16</v>
      </c>
    </row>
    <row r="453" spans="1:3">
      <c r="A453" s="146">
        <v>12</v>
      </c>
      <c r="B453" s="183">
        <v>890115.54</v>
      </c>
      <c r="C453" s="178">
        <v>2</v>
      </c>
    </row>
    <row r="454" spans="1:3">
      <c r="A454" s="144" t="s">
        <v>89</v>
      </c>
      <c r="B454" s="183">
        <v>5180000</v>
      </c>
      <c r="C454" s="178">
        <v>3</v>
      </c>
    </row>
    <row r="455" spans="1:3">
      <c r="A455" s="146">
        <v>4</v>
      </c>
      <c r="B455" s="183">
        <v>5180000</v>
      </c>
      <c r="C455" s="178">
        <v>3</v>
      </c>
    </row>
    <row r="456" spans="1:3">
      <c r="A456" s="144" t="s">
        <v>233</v>
      </c>
      <c r="B456" s="183">
        <v>361600</v>
      </c>
      <c r="C456" s="178">
        <v>1</v>
      </c>
    </row>
    <row r="457" spans="1:3">
      <c r="A457" s="146">
        <v>8</v>
      </c>
      <c r="B457" s="183">
        <v>361600</v>
      </c>
      <c r="C457" s="178">
        <v>1</v>
      </c>
    </row>
    <row r="458" spans="1:3">
      <c r="A458" s="144" t="s">
        <v>382</v>
      </c>
      <c r="B458" s="183">
        <v>1150000</v>
      </c>
      <c r="C458" s="178">
        <v>1</v>
      </c>
    </row>
    <row r="459" spans="1:3">
      <c r="A459" s="146">
        <v>9</v>
      </c>
      <c r="B459" s="183">
        <v>1150000</v>
      </c>
      <c r="C459" s="178">
        <v>1</v>
      </c>
    </row>
    <row r="460" spans="1:3">
      <c r="A460" s="144" t="s">
        <v>422</v>
      </c>
      <c r="B460" s="183">
        <v>800000</v>
      </c>
      <c r="C460" s="178">
        <v>1</v>
      </c>
    </row>
    <row r="461" spans="1:3">
      <c r="A461" s="146">
        <v>2</v>
      </c>
      <c r="B461" s="183">
        <v>800000</v>
      </c>
      <c r="C461" s="178">
        <v>1</v>
      </c>
    </row>
    <row r="462" spans="1:3">
      <c r="A462" s="144" t="s">
        <v>420</v>
      </c>
      <c r="B462" s="183">
        <v>969127</v>
      </c>
      <c r="C462" s="178">
        <v>2</v>
      </c>
    </row>
    <row r="463" spans="1:3">
      <c r="A463" s="146">
        <v>11</v>
      </c>
      <c r="B463" s="183">
        <v>466250</v>
      </c>
      <c r="C463" s="178">
        <v>1</v>
      </c>
    </row>
    <row r="464" spans="1:3">
      <c r="A464" s="146">
        <v>12</v>
      </c>
      <c r="B464" s="183">
        <v>502877</v>
      </c>
      <c r="C464" s="178">
        <v>1</v>
      </c>
    </row>
    <row r="465" spans="1:3">
      <c r="A465" s="144" t="s">
        <v>415</v>
      </c>
      <c r="B465" s="183">
        <v>241500</v>
      </c>
      <c r="C465" s="178">
        <v>1</v>
      </c>
    </row>
    <row r="466" spans="1:3">
      <c r="A466" s="146">
        <v>10</v>
      </c>
      <c r="B466" s="183">
        <v>241500</v>
      </c>
      <c r="C466" s="178">
        <v>1</v>
      </c>
    </row>
    <row r="467" spans="1:3">
      <c r="A467" s="144" t="s">
        <v>191</v>
      </c>
      <c r="B467" s="183">
        <v>1432980</v>
      </c>
      <c r="C467" s="178">
        <v>6</v>
      </c>
    </row>
    <row r="468" spans="1:3">
      <c r="A468" s="146">
        <v>1</v>
      </c>
      <c r="B468" s="183">
        <v>453630</v>
      </c>
      <c r="C468" s="178">
        <v>2</v>
      </c>
    </row>
    <row r="469" spans="1:3">
      <c r="A469" s="146">
        <v>2</v>
      </c>
      <c r="B469" s="183">
        <v>126350</v>
      </c>
      <c r="C469" s="178">
        <v>1</v>
      </c>
    </row>
    <row r="470" spans="1:3">
      <c r="A470" s="146">
        <v>5</v>
      </c>
      <c r="B470" s="183">
        <v>231300</v>
      </c>
      <c r="C470" s="178">
        <v>1</v>
      </c>
    </row>
    <row r="471" spans="1:3">
      <c r="A471" s="146">
        <v>6</v>
      </c>
      <c r="B471" s="183">
        <v>371700</v>
      </c>
      <c r="C471" s="178">
        <v>1</v>
      </c>
    </row>
    <row r="472" spans="1:3">
      <c r="A472" s="146">
        <v>7</v>
      </c>
      <c r="B472" s="183">
        <v>250000</v>
      </c>
      <c r="C472" s="178">
        <v>1</v>
      </c>
    </row>
    <row r="473" spans="1:3">
      <c r="A473" s="144" t="s">
        <v>208</v>
      </c>
      <c r="B473" s="183">
        <v>274500</v>
      </c>
      <c r="C473" s="178">
        <v>1</v>
      </c>
    </row>
    <row r="474" spans="1:3">
      <c r="A474" s="146">
        <v>2</v>
      </c>
      <c r="B474" s="183">
        <v>274500</v>
      </c>
      <c r="C474" s="178">
        <v>1</v>
      </c>
    </row>
    <row r="475" spans="1:3">
      <c r="A475" s="144" t="s">
        <v>447</v>
      </c>
      <c r="B475" s="183">
        <v>900000</v>
      </c>
      <c r="C475" s="178">
        <v>1</v>
      </c>
    </row>
    <row r="476" spans="1:3">
      <c r="A476" s="146">
        <v>8</v>
      </c>
      <c r="B476" s="183">
        <v>900000</v>
      </c>
      <c r="C476" s="178">
        <v>1</v>
      </c>
    </row>
    <row r="477" spans="1:3">
      <c r="A477" s="144" t="s">
        <v>81</v>
      </c>
      <c r="B477" s="183">
        <v>1821981.74</v>
      </c>
      <c r="C477" s="178">
        <v>4</v>
      </c>
    </row>
    <row r="478" spans="1:3">
      <c r="A478" s="146">
        <v>3</v>
      </c>
      <c r="B478" s="183">
        <v>411000</v>
      </c>
      <c r="C478" s="178">
        <v>1</v>
      </c>
    </row>
    <row r="479" spans="1:3">
      <c r="A479" s="146">
        <v>10</v>
      </c>
      <c r="B479" s="183">
        <v>485000</v>
      </c>
      <c r="C479" s="178">
        <v>1</v>
      </c>
    </row>
    <row r="480" spans="1:3">
      <c r="A480" s="146">
        <v>12</v>
      </c>
      <c r="B480" s="183">
        <v>925981.74</v>
      </c>
      <c r="C480" s="178">
        <v>2</v>
      </c>
    </row>
    <row r="481" spans="1:3">
      <c r="A481" s="182" t="s">
        <v>463</v>
      </c>
      <c r="B481" s="183">
        <v>4574783.42</v>
      </c>
      <c r="C481" s="178">
        <v>8</v>
      </c>
    </row>
    <row r="482" spans="1:3">
      <c r="A482" s="144" t="s">
        <v>230</v>
      </c>
      <c r="B482" s="183">
        <v>182000</v>
      </c>
      <c r="C482" s="178">
        <v>1</v>
      </c>
    </row>
    <row r="483" spans="1:3">
      <c r="A483" s="146">
        <v>1</v>
      </c>
      <c r="B483" s="183">
        <v>182000</v>
      </c>
      <c r="C483" s="178">
        <v>1</v>
      </c>
    </row>
    <row r="484" spans="1:3">
      <c r="A484" s="144" t="s">
        <v>53</v>
      </c>
      <c r="B484" s="183">
        <v>477650.03</v>
      </c>
      <c r="C484" s="178">
        <v>1</v>
      </c>
    </row>
    <row r="485" spans="1:3">
      <c r="A485" s="146">
        <v>1</v>
      </c>
      <c r="B485" s="183">
        <v>477650.03</v>
      </c>
      <c r="C485" s="178">
        <v>1</v>
      </c>
    </row>
    <row r="486" spans="1:3">
      <c r="A486" s="144" t="s">
        <v>186</v>
      </c>
      <c r="B486" s="183">
        <v>400000</v>
      </c>
      <c r="C486" s="178">
        <v>1</v>
      </c>
    </row>
    <row r="487" spans="1:3">
      <c r="A487" s="146">
        <v>1</v>
      </c>
      <c r="B487" s="183">
        <v>400000</v>
      </c>
      <c r="C487" s="178">
        <v>1</v>
      </c>
    </row>
    <row r="488" spans="1:3">
      <c r="A488" s="144" t="s">
        <v>233</v>
      </c>
      <c r="B488" s="183">
        <v>360000</v>
      </c>
      <c r="C488" s="178">
        <v>1</v>
      </c>
    </row>
    <row r="489" spans="1:3">
      <c r="A489" s="146">
        <v>1</v>
      </c>
      <c r="B489" s="183">
        <v>360000</v>
      </c>
      <c r="C489" s="178">
        <v>1</v>
      </c>
    </row>
    <row r="490" spans="1:3">
      <c r="A490" s="144" t="s">
        <v>427</v>
      </c>
      <c r="B490" s="183">
        <v>440000</v>
      </c>
      <c r="C490" s="178">
        <v>1</v>
      </c>
    </row>
    <row r="491" spans="1:3">
      <c r="A491" s="146">
        <v>12</v>
      </c>
      <c r="B491" s="183">
        <v>440000</v>
      </c>
      <c r="C491" s="178">
        <v>1</v>
      </c>
    </row>
    <row r="492" spans="1:3">
      <c r="A492" s="144" t="s">
        <v>432</v>
      </c>
      <c r="B492" s="183">
        <v>407333.29000000004</v>
      </c>
      <c r="C492" s="178">
        <v>2</v>
      </c>
    </row>
    <row r="493" spans="1:3">
      <c r="A493" s="146">
        <v>5</v>
      </c>
      <c r="B493" s="183">
        <v>185000</v>
      </c>
      <c r="C493" s="178">
        <v>1</v>
      </c>
    </row>
    <row r="494" spans="1:3">
      <c r="A494" s="146">
        <v>6</v>
      </c>
      <c r="B494" s="183">
        <v>222333.29</v>
      </c>
      <c r="C494" s="178">
        <v>1</v>
      </c>
    </row>
    <row r="495" spans="1:3">
      <c r="A495" s="144" t="s">
        <v>433</v>
      </c>
      <c r="B495" s="183">
        <v>2307800.1</v>
      </c>
      <c r="C495" s="178">
        <v>1</v>
      </c>
    </row>
    <row r="496" spans="1:3">
      <c r="A496" s="146">
        <v>7</v>
      </c>
      <c r="B496" s="183">
        <v>2307800.1</v>
      </c>
      <c r="C496" s="178">
        <v>1</v>
      </c>
    </row>
    <row r="497" spans="1:3">
      <c r="A497" s="182" t="s">
        <v>464</v>
      </c>
      <c r="B497" s="183">
        <v>4819427.3900000006</v>
      </c>
      <c r="C497" s="178">
        <v>22</v>
      </c>
    </row>
    <row r="498" spans="1:3">
      <c r="A498" s="144" t="s">
        <v>186</v>
      </c>
      <c r="B498" s="183">
        <v>3340827.39</v>
      </c>
      <c r="C498" s="178">
        <v>16</v>
      </c>
    </row>
    <row r="499" spans="1:3">
      <c r="A499" s="146">
        <v>10</v>
      </c>
      <c r="B499" s="183">
        <v>3340827.39</v>
      </c>
      <c r="C499" s="178">
        <v>16</v>
      </c>
    </row>
    <row r="500" spans="1:3">
      <c r="A500" s="144" t="s">
        <v>233</v>
      </c>
      <c r="B500" s="183">
        <v>343000</v>
      </c>
      <c r="C500" s="178">
        <v>1</v>
      </c>
    </row>
    <row r="501" spans="1:3">
      <c r="A501" s="146">
        <v>2</v>
      </c>
      <c r="B501" s="183">
        <v>343000</v>
      </c>
      <c r="C501" s="178">
        <v>1</v>
      </c>
    </row>
    <row r="502" spans="1:3">
      <c r="A502" s="144" t="s">
        <v>191</v>
      </c>
      <c r="B502" s="183">
        <v>621600</v>
      </c>
      <c r="C502" s="178">
        <v>3</v>
      </c>
    </row>
    <row r="503" spans="1:3">
      <c r="A503" s="146">
        <v>1</v>
      </c>
      <c r="B503" s="183">
        <v>416600</v>
      </c>
      <c r="C503" s="178">
        <v>2</v>
      </c>
    </row>
    <row r="504" spans="1:3">
      <c r="A504" s="146">
        <v>2</v>
      </c>
      <c r="B504" s="183">
        <v>205000</v>
      </c>
      <c r="C504" s="178">
        <v>1</v>
      </c>
    </row>
    <row r="505" spans="1:3">
      <c r="A505" s="144" t="s">
        <v>208</v>
      </c>
      <c r="B505" s="183">
        <v>273500</v>
      </c>
      <c r="C505" s="178">
        <v>1</v>
      </c>
    </row>
    <row r="506" spans="1:3">
      <c r="A506" s="146">
        <v>2</v>
      </c>
      <c r="B506" s="183">
        <v>273500</v>
      </c>
      <c r="C506" s="178">
        <v>1</v>
      </c>
    </row>
    <row r="507" spans="1:3">
      <c r="A507" s="144" t="s">
        <v>432</v>
      </c>
      <c r="B507" s="183">
        <v>240500</v>
      </c>
      <c r="C507" s="178">
        <v>1</v>
      </c>
    </row>
    <row r="508" spans="1:3">
      <c r="A508" s="146">
        <v>2</v>
      </c>
      <c r="B508" s="183">
        <v>240500</v>
      </c>
      <c r="C508" s="178">
        <v>1</v>
      </c>
    </row>
    <row r="509" spans="1:3">
      <c r="A509" s="182" t="s">
        <v>469</v>
      </c>
      <c r="B509" s="183">
        <v>1042672</v>
      </c>
      <c r="C509" s="178">
        <v>3</v>
      </c>
    </row>
    <row r="510" spans="1:3">
      <c r="A510" s="144" t="s">
        <v>53</v>
      </c>
      <c r="B510" s="183">
        <v>552672</v>
      </c>
      <c r="C510" s="178">
        <v>2</v>
      </c>
    </row>
    <row r="511" spans="1:3">
      <c r="A511" s="146">
        <v>11</v>
      </c>
      <c r="B511" s="183">
        <v>552672</v>
      </c>
      <c r="C511" s="178">
        <v>2</v>
      </c>
    </row>
    <row r="512" spans="1:3">
      <c r="A512" s="144" t="s">
        <v>81</v>
      </c>
      <c r="B512" s="183">
        <v>490000</v>
      </c>
      <c r="C512" s="178">
        <v>1</v>
      </c>
    </row>
    <row r="513" spans="1:3">
      <c r="A513" s="146">
        <v>12</v>
      </c>
      <c r="B513" s="183">
        <v>490000</v>
      </c>
      <c r="C513" s="178">
        <v>1</v>
      </c>
    </row>
    <row r="514" spans="1:3">
      <c r="A514" s="182" t="s">
        <v>473</v>
      </c>
      <c r="B514" s="183">
        <v>515800</v>
      </c>
      <c r="C514" s="178">
        <v>1</v>
      </c>
    </row>
    <row r="515" spans="1:3">
      <c r="A515" s="144" t="s">
        <v>53</v>
      </c>
      <c r="B515" s="183">
        <v>515800</v>
      </c>
      <c r="C515" s="178">
        <v>1</v>
      </c>
    </row>
    <row r="516" spans="1:3">
      <c r="A516" s="146">
        <v>11</v>
      </c>
      <c r="B516" s="183">
        <v>515800</v>
      </c>
      <c r="C516" s="178">
        <v>1</v>
      </c>
    </row>
    <row r="517" spans="1:3">
      <c r="A517" s="182" t="s">
        <v>484</v>
      </c>
      <c r="B517" s="183">
        <v>211404</v>
      </c>
      <c r="C517" s="178">
        <v>1</v>
      </c>
    </row>
    <row r="518" spans="1:3">
      <c r="A518" s="144" t="s">
        <v>191</v>
      </c>
      <c r="B518" s="183">
        <v>211404</v>
      </c>
      <c r="C518" s="178">
        <v>1</v>
      </c>
    </row>
    <row r="519" spans="1:3">
      <c r="A519" s="146">
        <v>1</v>
      </c>
      <c r="B519" s="183">
        <v>211404</v>
      </c>
      <c r="C519" s="178">
        <v>1</v>
      </c>
    </row>
    <row r="520" spans="1:3">
      <c r="A520" s="182" t="s">
        <v>501</v>
      </c>
      <c r="B520" s="183">
        <v>133175</v>
      </c>
      <c r="C520" s="178">
        <v>1</v>
      </c>
    </row>
    <row r="521" spans="1:3">
      <c r="A521" s="144" t="s">
        <v>208</v>
      </c>
      <c r="B521" s="183">
        <v>133175</v>
      </c>
      <c r="C521" s="178">
        <v>1</v>
      </c>
    </row>
    <row r="522" spans="1:3">
      <c r="A522" s="146">
        <v>11</v>
      </c>
      <c r="B522" s="183">
        <v>133175</v>
      </c>
      <c r="C522" s="178">
        <v>1</v>
      </c>
    </row>
    <row r="523" spans="1:3">
      <c r="A523" s="182" t="s">
        <v>502</v>
      </c>
      <c r="B523" s="183">
        <v>133175</v>
      </c>
      <c r="C523" s="178">
        <v>1</v>
      </c>
    </row>
    <row r="524" spans="1:3">
      <c r="A524" s="144" t="s">
        <v>208</v>
      </c>
      <c r="B524" s="183">
        <v>133175</v>
      </c>
      <c r="C524" s="178">
        <v>1</v>
      </c>
    </row>
    <row r="525" spans="1:3">
      <c r="A525" s="146">
        <v>11</v>
      </c>
      <c r="B525" s="183">
        <v>133175</v>
      </c>
      <c r="C525" s="178">
        <v>1</v>
      </c>
    </row>
    <row r="526" spans="1:3">
      <c r="A526" s="182" t="s">
        <v>505</v>
      </c>
      <c r="B526" s="183">
        <v>1509067.5349999999</v>
      </c>
      <c r="C526" s="178">
        <v>4</v>
      </c>
    </row>
    <row r="527" spans="1:3">
      <c r="A527" s="144" t="s">
        <v>53</v>
      </c>
      <c r="B527" s="183">
        <v>690000</v>
      </c>
      <c r="C527" s="178">
        <v>1</v>
      </c>
    </row>
    <row r="528" spans="1:3">
      <c r="A528" s="146">
        <v>11</v>
      </c>
      <c r="B528" s="183">
        <v>690000</v>
      </c>
      <c r="C528" s="178">
        <v>1</v>
      </c>
    </row>
    <row r="529" spans="1:3">
      <c r="A529" s="144" t="s">
        <v>233</v>
      </c>
      <c r="B529" s="183">
        <v>365000</v>
      </c>
      <c r="C529" s="178">
        <v>1</v>
      </c>
    </row>
    <row r="530" spans="1:3">
      <c r="A530" s="146">
        <v>11</v>
      </c>
      <c r="B530" s="183">
        <v>365000</v>
      </c>
      <c r="C530" s="178">
        <v>1</v>
      </c>
    </row>
    <row r="531" spans="1:3">
      <c r="A531" s="144" t="s">
        <v>191</v>
      </c>
      <c r="B531" s="183">
        <v>109143.535</v>
      </c>
      <c r="C531" s="178">
        <v>1</v>
      </c>
    </row>
    <row r="532" spans="1:3">
      <c r="A532" s="146">
        <v>1</v>
      </c>
      <c r="B532" s="183">
        <v>109143.535</v>
      </c>
      <c r="C532" s="178">
        <v>1</v>
      </c>
    </row>
    <row r="533" spans="1:3">
      <c r="A533" s="144" t="s">
        <v>208</v>
      </c>
      <c r="B533" s="183">
        <v>344924</v>
      </c>
      <c r="C533" s="178">
        <v>1</v>
      </c>
    </row>
    <row r="534" spans="1:3">
      <c r="A534" s="146">
        <v>12</v>
      </c>
      <c r="B534" s="183">
        <v>344924</v>
      </c>
      <c r="C534" s="178">
        <v>1</v>
      </c>
    </row>
    <row r="535" spans="1:3">
      <c r="A535" s="182" t="s">
        <v>515</v>
      </c>
      <c r="B535" s="183">
        <v>581287</v>
      </c>
      <c r="C535" s="178">
        <v>2</v>
      </c>
    </row>
    <row r="536" spans="1:3">
      <c r="A536" s="144" t="s">
        <v>53</v>
      </c>
      <c r="B536" s="183">
        <v>581287</v>
      </c>
      <c r="C536" s="178">
        <v>2</v>
      </c>
    </row>
    <row r="537" spans="1:3">
      <c r="A537" s="146">
        <v>1</v>
      </c>
      <c r="B537" s="183">
        <v>581287</v>
      </c>
      <c r="C537" s="178">
        <v>2</v>
      </c>
    </row>
    <row r="538" spans="1:3">
      <c r="A538" s="182" t="s">
        <v>518</v>
      </c>
      <c r="B538" s="183">
        <v>484115.36</v>
      </c>
      <c r="C538" s="178">
        <v>1</v>
      </c>
    </row>
    <row r="539" spans="1:3">
      <c r="A539" s="144" t="s">
        <v>81</v>
      </c>
      <c r="B539" s="183">
        <v>484115.36</v>
      </c>
      <c r="C539" s="178">
        <v>1</v>
      </c>
    </row>
    <row r="540" spans="1:3">
      <c r="A540" s="146">
        <v>1</v>
      </c>
      <c r="B540" s="183">
        <v>484115.36</v>
      </c>
      <c r="C540" s="178">
        <v>1</v>
      </c>
    </row>
    <row r="541" spans="1:3">
      <c r="A541" s="182" t="s">
        <v>532</v>
      </c>
      <c r="B541" s="183">
        <v>455428.24</v>
      </c>
      <c r="C541" s="178">
        <v>1</v>
      </c>
    </row>
    <row r="542" spans="1:3">
      <c r="A542" s="144" t="s">
        <v>81</v>
      </c>
      <c r="B542" s="183">
        <v>455428.24</v>
      </c>
      <c r="C542" s="178">
        <v>1</v>
      </c>
    </row>
    <row r="543" spans="1:3">
      <c r="A543" s="146">
        <v>1</v>
      </c>
      <c r="B543" s="183">
        <v>455428.24</v>
      </c>
      <c r="C543" s="178">
        <v>1</v>
      </c>
    </row>
    <row r="544" spans="1:3">
      <c r="A544" s="182" t="s">
        <v>539</v>
      </c>
      <c r="B544" s="183">
        <v>531009</v>
      </c>
      <c r="C544" s="178">
        <v>2</v>
      </c>
    </row>
    <row r="545" spans="1:3">
      <c r="A545" s="144" t="s">
        <v>208</v>
      </c>
      <c r="B545" s="183">
        <v>531009</v>
      </c>
      <c r="C545" s="178">
        <v>2</v>
      </c>
    </row>
    <row r="546" spans="1:3">
      <c r="A546" s="146">
        <v>1</v>
      </c>
      <c r="B546" s="183">
        <v>531009</v>
      </c>
      <c r="C546" s="178">
        <v>2</v>
      </c>
    </row>
    <row r="547" spans="1:3">
      <c r="A547" s="182" t="s">
        <v>540</v>
      </c>
      <c r="B547" s="183">
        <v>1680000</v>
      </c>
      <c r="C547" s="178">
        <v>2</v>
      </c>
    </row>
    <row r="548" spans="1:3">
      <c r="A548" s="144" t="s">
        <v>422</v>
      </c>
      <c r="B548" s="183">
        <v>880000</v>
      </c>
      <c r="C548" s="178">
        <v>1</v>
      </c>
    </row>
    <row r="549" spans="1:3">
      <c r="A549" s="146">
        <v>1</v>
      </c>
      <c r="B549" s="183">
        <v>880000</v>
      </c>
      <c r="C549" s="178">
        <v>1</v>
      </c>
    </row>
    <row r="550" spans="1:3">
      <c r="A550" s="144" t="s">
        <v>419</v>
      </c>
      <c r="B550" s="183">
        <v>800000</v>
      </c>
      <c r="C550" s="178">
        <v>1</v>
      </c>
    </row>
    <row r="551" spans="1:3">
      <c r="A551" s="146">
        <v>1</v>
      </c>
      <c r="B551" s="183">
        <v>800000</v>
      </c>
      <c r="C551" s="178">
        <v>1</v>
      </c>
    </row>
    <row r="552" spans="1:3">
      <c r="A552" s="182" t="s">
        <v>542</v>
      </c>
      <c r="B552" s="183">
        <v>259745.4</v>
      </c>
      <c r="C552" s="178">
        <v>1</v>
      </c>
    </row>
    <row r="553" spans="1:3">
      <c r="A553" s="144" t="s">
        <v>208</v>
      </c>
      <c r="B553" s="183">
        <v>259745.4</v>
      </c>
      <c r="C553" s="178">
        <v>1</v>
      </c>
    </row>
    <row r="554" spans="1:3">
      <c r="A554" s="146">
        <v>1</v>
      </c>
      <c r="B554" s="183">
        <v>259745.4</v>
      </c>
      <c r="C554" s="178">
        <v>1</v>
      </c>
    </row>
    <row r="555" spans="1:3">
      <c r="A555" s="182" t="s">
        <v>547</v>
      </c>
      <c r="B555" s="183">
        <v>210000</v>
      </c>
      <c r="C555" s="178">
        <v>1</v>
      </c>
    </row>
    <row r="556" spans="1:3">
      <c r="A556" s="144" t="s">
        <v>191</v>
      </c>
      <c r="B556" s="183">
        <v>210000</v>
      </c>
      <c r="C556" s="178">
        <v>1</v>
      </c>
    </row>
    <row r="557" spans="1:3">
      <c r="A557" s="146">
        <v>2</v>
      </c>
      <c r="B557" s="183">
        <v>210000</v>
      </c>
      <c r="C557" s="178">
        <v>1</v>
      </c>
    </row>
    <row r="558" spans="1:3">
      <c r="A558" s="182" t="s">
        <v>548</v>
      </c>
      <c r="B558" s="183">
        <v>162708425.65000007</v>
      </c>
      <c r="C558" s="178">
        <v>373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98"/>
  <sheetViews>
    <sheetView topLeftCell="A149" workbookViewId="0">
      <selection activeCell="A3" sqref="A3:B189"/>
    </sheetView>
  </sheetViews>
  <sheetFormatPr defaultRowHeight="14.4"/>
  <cols>
    <col min="1" max="1" width="19.33203125" bestFit="1" customWidth="1"/>
    <col min="2" max="2" width="25.88671875" bestFit="1" customWidth="1"/>
  </cols>
  <sheetData>
    <row r="3" spans="1:1">
      <c r="A3" s="179" t="s">
        <v>550</v>
      </c>
    </row>
    <row r="4" spans="1:1">
      <c r="A4" s="182" t="s">
        <v>212</v>
      </c>
    </row>
    <row r="5" spans="1:1">
      <c r="A5" s="182" t="s">
        <v>282</v>
      </c>
    </row>
    <row r="6" spans="1:1">
      <c r="A6" s="182" t="s">
        <v>161</v>
      </c>
    </row>
    <row r="7" spans="1:1">
      <c r="A7" s="182" t="s">
        <v>18</v>
      </c>
    </row>
    <row r="8" spans="1:1">
      <c r="A8" s="182" t="s">
        <v>483</v>
      </c>
    </row>
    <row r="9" spans="1:1">
      <c r="A9" s="182" t="s">
        <v>473</v>
      </c>
    </row>
    <row r="10" spans="1:1">
      <c r="A10" s="182" t="s">
        <v>121</v>
      </c>
    </row>
    <row r="11" spans="1:1">
      <c r="A11" s="182" t="s">
        <v>459</v>
      </c>
    </row>
    <row r="12" spans="1:1">
      <c r="A12" s="182" t="s">
        <v>64</v>
      </c>
    </row>
    <row r="13" spans="1:1">
      <c r="A13" s="182" t="s">
        <v>469</v>
      </c>
    </row>
    <row r="14" spans="1:1">
      <c r="A14" s="182" t="s">
        <v>332</v>
      </c>
    </row>
    <row r="15" spans="1:1">
      <c r="A15" s="182" t="s">
        <v>333</v>
      </c>
    </row>
    <row r="16" spans="1:1">
      <c r="A16" s="182" t="s">
        <v>375</v>
      </c>
    </row>
    <row r="17" spans="1:1">
      <c r="A17" s="182" t="s">
        <v>281</v>
      </c>
    </row>
    <row r="18" spans="1:1">
      <c r="A18" s="182" t="s">
        <v>170</v>
      </c>
    </row>
    <row r="19" spans="1:1">
      <c r="A19" s="182" t="s">
        <v>461</v>
      </c>
    </row>
    <row r="20" spans="1:1">
      <c r="A20" s="182" t="s">
        <v>187</v>
      </c>
    </row>
    <row r="21" spans="1:1">
      <c r="A21" s="182" t="s">
        <v>152</v>
      </c>
    </row>
    <row r="22" spans="1:1">
      <c r="A22" s="182" t="s">
        <v>45</v>
      </c>
    </row>
    <row r="23" spans="1:1">
      <c r="A23" s="182" t="s">
        <v>179</v>
      </c>
    </row>
    <row r="24" spans="1:1">
      <c r="A24" s="182" t="s">
        <v>381</v>
      </c>
    </row>
    <row r="25" spans="1:1">
      <c r="A25" s="182" t="s">
        <v>218</v>
      </c>
    </row>
    <row r="26" spans="1:1">
      <c r="A26" s="182" t="s">
        <v>379</v>
      </c>
    </row>
    <row r="27" spans="1:1">
      <c r="A27" s="182" t="s">
        <v>17</v>
      </c>
    </row>
    <row r="28" spans="1:1">
      <c r="A28" s="182" t="s">
        <v>295</v>
      </c>
    </row>
    <row r="29" spans="1:1">
      <c r="A29" s="182" t="s">
        <v>87</v>
      </c>
    </row>
    <row r="30" spans="1:1">
      <c r="A30" s="182" t="s">
        <v>206</v>
      </c>
    </row>
    <row r="31" spans="1:1">
      <c r="A31" s="182" t="s">
        <v>207</v>
      </c>
    </row>
    <row r="32" spans="1:1">
      <c r="A32" s="182" t="s">
        <v>176</v>
      </c>
    </row>
    <row r="33" spans="1:1">
      <c r="A33" s="182" t="s">
        <v>283</v>
      </c>
    </row>
    <row r="34" spans="1:1">
      <c r="A34" s="182" t="s">
        <v>41</v>
      </c>
    </row>
    <row r="35" spans="1:1">
      <c r="A35" s="182" t="s">
        <v>285</v>
      </c>
    </row>
    <row r="36" spans="1:1">
      <c r="A36" s="182" t="s">
        <v>71</v>
      </c>
    </row>
    <row r="37" spans="1:1">
      <c r="A37" s="182" t="s">
        <v>287</v>
      </c>
    </row>
    <row r="38" spans="1:1">
      <c r="A38" s="182" t="s">
        <v>474</v>
      </c>
    </row>
    <row r="39" spans="1:1">
      <c r="A39" s="182" t="s">
        <v>49</v>
      </c>
    </row>
    <row r="40" spans="1:1">
      <c r="A40" s="182" t="s">
        <v>497</v>
      </c>
    </row>
    <row r="41" spans="1:1">
      <c r="A41" s="182" t="s">
        <v>501</v>
      </c>
    </row>
    <row r="42" spans="1:1">
      <c r="A42" s="182" t="s">
        <v>70</v>
      </c>
    </row>
    <row r="43" spans="1:1">
      <c r="A43" s="182" t="s">
        <v>37</v>
      </c>
    </row>
    <row r="44" spans="1:1">
      <c r="A44" s="182" t="s">
        <v>274</v>
      </c>
    </row>
    <row r="45" spans="1:1">
      <c r="A45" s="182" t="s">
        <v>268</v>
      </c>
    </row>
    <row r="46" spans="1:1">
      <c r="A46" s="182" t="s">
        <v>65</v>
      </c>
    </row>
    <row r="47" spans="1:1">
      <c r="A47" s="182" t="s">
        <v>162</v>
      </c>
    </row>
    <row r="48" spans="1:1">
      <c r="A48" s="182" t="s">
        <v>171</v>
      </c>
    </row>
    <row r="49" spans="1:1">
      <c r="A49" s="182" t="s">
        <v>224</v>
      </c>
    </row>
    <row r="50" spans="1:1">
      <c r="A50" s="182" t="s">
        <v>335</v>
      </c>
    </row>
    <row r="51" spans="1:1">
      <c r="A51" s="182" t="s">
        <v>67</v>
      </c>
    </row>
    <row r="52" spans="1:1">
      <c r="A52" s="182" t="s">
        <v>129</v>
      </c>
    </row>
    <row r="53" spans="1:1">
      <c r="A53" s="182" t="s">
        <v>336</v>
      </c>
    </row>
    <row r="54" spans="1:1">
      <c r="A54" s="182" t="s">
        <v>47</v>
      </c>
    </row>
    <row r="55" spans="1:1">
      <c r="A55" s="182" t="s">
        <v>503</v>
      </c>
    </row>
    <row r="56" spans="1:1">
      <c r="A56" s="182" t="s">
        <v>62</v>
      </c>
    </row>
    <row r="57" spans="1:1">
      <c r="A57" s="182" t="s">
        <v>291</v>
      </c>
    </row>
    <row r="58" spans="1:1">
      <c r="A58" s="182" t="s">
        <v>307</v>
      </c>
    </row>
    <row r="59" spans="1:1">
      <c r="A59" s="182" t="s">
        <v>308</v>
      </c>
    </row>
    <row r="60" spans="1:1">
      <c r="A60" s="182" t="s">
        <v>276</v>
      </c>
    </row>
    <row r="61" spans="1:1">
      <c r="A61" s="182" t="s">
        <v>80</v>
      </c>
    </row>
    <row r="62" spans="1:1">
      <c r="A62" s="182" t="s">
        <v>39</v>
      </c>
    </row>
    <row r="63" spans="1:1">
      <c r="A63" s="182" t="s">
        <v>40</v>
      </c>
    </row>
    <row r="64" spans="1:1">
      <c r="A64" s="182" t="s">
        <v>168</v>
      </c>
    </row>
    <row r="65" spans="1:1">
      <c r="A65" s="182" t="s">
        <v>374</v>
      </c>
    </row>
    <row r="66" spans="1:1">
      <c r="A66" s="182" t="s">
        <v>193</v>
      </c>
    </row>
    <row r="67" spans="1:1">
      <c r="A67" s="182" t="s">
        <v>484</v>
      </c>
    </row>
    <row r="68" spans="1:1">
      <c r="A68" s="182" t="s">
        <v>292</v>
      </c>
    </row>
    <row r="69" spans="1:1">
      <c r="A69" s="182" t="s">
        <v>59</v>
      </c>
    </row>
    <row r="70" spans="1:1">
      <c r="A70" s="182" t="s">
        <v>75</v>
      </c>
    </row>
    <row r="71" spans="1:1">
      <c r="A71" s="182" t="s">
        <v>296</v>
      </c>
    </row>
    <row r="72" spans="1:1">
      <c r="A72" s="182" t="s">
        <v>21</v>
      </c>
    </row>
    <row r="73" spans="1:1">
      <c r="A73" s="182" t="s">
        <v>36</v>
      </c>
    </row>
    <row r="74" spans="1:1">
      <c r="A74" s="182" t="s">
        <v>194</v>
      </c>
    </row>
    <row r="75" spans="1:1">
      <c r="A75" s="182" t="s">
        <v>46</v>
      </c>
    </row>
    <row r="76" spans="1:1">
      <c r="A76" s="182" t="s">
        <v>148</v>
      </c>
    </row>
    <row r="77" spans="1:1">
      <c r="A77" s="182" t="s">
        <v>153</v>
      </c>
    </row>
    <row r="78" spans="1:1">
      <c r="A78" s="182" t="s">
        <v>31</v>
      </c>
    </row>
    <row r="79" spans="1:1">
      <c r="A79" s="182" t="s">
        <v>77</v>
      </c>
    </row>
    <row r="80" spans="1:1">
      <c r="A80" s="182" t="s">
        <v>369</v>
      </c>
    </row>
    <row r="81" spans="1:1">
      <c r="A81" s="182" t="s">
        <v>69</v>
      </c>
    </row>
    <row r="82" spans="1:1">
      <c r="A82" s="182" t="s">
        <v>330</v>
      </c>
    </row>
    <row r="83" spans="1:1">
      <c r="A83" s="182" t="s">
        <v>68</v>
      </c>
    </row>
    <row r="84" spans="1:1">
      <c r="A84" s="182" t="s">
        <v>55</v>
      </c>
    </row>
    <row r="85" spans="1:1">
      <c r="A85" s="182" t="s">
        <v>331</v>
      </c>
    </row>
    <row r="86" spans="1:1">
      <c r="A86" s="182" t="s">
        <v>266</v>
      </c>
    </row>
    <row r="87" spans="1:1">
      <c r="A87" s="182" t="s">
        <v>368</v>
      </c>
    </row>
    <row r="88" spans="1:1">
      <c r="A88" s="182" t="s">
        <v>337</v>
      </c>
    </row>
    <row r="89" spans="1:1">
      <c r="A89" s="182" t="s">
        <v>463</v>
      </c>
    </row>
    <row r="90" spans="1:1">
      <c r="A90" s="182" t="s">
        <v>361</v>
      </c>
    </row>
    <row r="91" spans="1:1">
      <c r="A91" s="182" t="s">
        <v>465</v>
      </c>
    </row>
    <row r="92" spans="1:1">
      <c r="A92" s="182" t="s">
        <v>464</v>
      </c>
    </row>
    <row r="93" spans="1:1">
      <c r="A93" s="182" t="s">
        <v>360</v>
      </c>
    </row>
    <row r="94" spans="1:1">
      <c r="A94" s="182" t="s">
        <v>304</v>
      </c>
    </row>
    <row r="95" spans="1:1">
      <c r="A95" s="182" t="s">
        <v>180</v>
      </c>
    </row>
    <row r="96" spans="1:1">
      <c r="A96" s="182" t="s">
        <v>302</v>
      </c>
    </row>
    <row r="97" spans="1:1">
      <c r="A97" s="182" t="s">
        <v>306</v>
      </c>
    </row>
    <row r="98" spans="1:1">
      <c r="A98" s="182" t="s">
        <v>297</v>
      </c>
    </row>
    <row r="99" spans="1:1">
      <c r="A99" s="182" t="s">
        <v>159</v>
      </c>
    </row>
    <row r="100" spans="1:1">
      <c r="A100" s="182" t="s">
        <v>38</v>
      </c>
    </row>
    <row r="101" spans="1:1">
      <c r="A101" s="182" t="s">
        <v>154</v>
      </c>
    </row>
    <row r="102" spans="1:1">
      <c r="A102" s="182" t="s">
        <v>155</v>
      </c>
    </row>
    <row r="103" spans="1:1">
      <c r="A103" s="182" t="s">
        <v>377</v>
      </c>
    </row>
    <row r="104" spans="1:1">
      <c r="A104" s="182" t="s">
        <v>169</v>
      </c>
    </row>
    <row r="105" spans="1:1">
      <c r="A105" s="182" t="s">
        <v>78</v>
      </c>
    </row>
    <row r="106" spans="1:1">
      <c r="A106" s="182" t="s">
        <v>104</v>
      </c>
    </row>
    <row r="107" spans="1:1">
      <c r="A107" s="182" t="s">
        <v>66</v>
      </c>
    </row>
    <row r="108" spans="1:1">
      <c r="A108" s="182" t="s">
        <v>279</v>
      </c>
    </row>
    <row r="109" spans="1:1">
      <c r="A109" s="182" t="s">
        <v>462</v>
      </c>
    </row>
    <row r="110" spans="1:1">
      <c r="A110" s="182" t="s">
        <v>42</v>
      </c>
    </row>
    <row r="111" spans="1:1">
      <c r="A111" s="182" t="s">
        <v>173</v>
      </c>
    </row>
    <row r="112" spans="1:1">
      <c r="A112" s="182" t="s">
        <v>506</v>
      </c>
    </row>
    <row r="113" spans="1:1">
      <c r="A113" s="182" t="s">
        <v>141</v>
      </c>
    </row>
    <row r="114" spans="1:1">
      <c r="A114" s="182" t="s">
        <v>48</v>
      </c>
    </row>
    <row r="115" spans="1:1">
      <c r="A115" s="182" t="s">
        <v>499</v>
      </c>
    </row>
    <row r="116" spans="1:1">
      <c r="A116" s="182" t="s">
        <v>149</v>
      </c>
    </row>
    <row r="117" spans="1:1">
      <c r="A117" s="182" t="s">
        <v>196</v>
      </c>
    </row>
    <row r="118" spans="1:1">
      <c r="A118" s="182" t="s">
        <v>498</v>
      </c>
    </row>
    <row r="119" spans="1:1">
      <c r="A119" s="182" t="s">
        <v>289</v>
      </c>
    </row>
    <row r="120" spans="1:1">
      <c r="A120" s="182" t="s">
        <v>56</v>
      </c>
    </row>
    <row r="121" spans="1:1">
      <c r="A121" s="182" t="s">
        <v>19</v>
      </c>
    </row>
    <row r="122" spans="1:1">
      <c r="A122" s="182" t="s">
        <v>496</v>
      </c>
    </row>
    <row r="123" spans="1:1">
      <c r="A123" s="182" t="s">
        <v>235</v>
      </c>
    </row>
    <row r="124" spans="1:1">
      <c r="A124" s="182" t="s">
        <v>267</v>
      </c>
    </row>
    <row r="125" spans="1:1">
      <c r="A125" s="182" t="s">
        <v>147</v>
      </c>
    </row>
    <row r="126" spans="1:1">
      <c r="A126" s="182" t="s">
        <v>277</v>
      </c>
    </row>
    <row r="127" spans="1:1">
      <c r="A127" s="182" t="s">
        <v>502</v>
      </c>
    </row>
    <row r="128" spans="1:1">
      <c r="A128" s="182" t="s">
        <v>309</v>
      </c>
    </row>
    <row r="129" spans="1:1">
      <c r="A129" s="182" t="s">
        <v>16</v>
      </c>
    </row>
    <row r="130" spans="1:1">
      <c r="A130" s="182" t="s">
        <v>372</v>
      </c>
    </row>
    <row r="131" spans="1:1">
      <c r="A131" s="182" t="s">
        <v>508</v>
      </c>
    </row>
    <row r="132" spans="1:1">
      <c r="A132" s="182" t="s">
        <v>373</v>
      </c>
    </row>
    <row r="133" spans="1:1">
      <c r="A133" s="182" t="s">
        <v>43</v>
      </c>
    </row>
    <row r="134" spans="1:1">
      <c r="A134" s="182" t="s">
        <v>253</v>
      </c>
    </row>
    <row r="135" spans="1:1">
      <c r="A135" s="182" t="s">
        <v>60</v>
      </c>
    </row>
    <row r="136" spans="1:1">
      <c r="A136" s="182" t="s">
        <v>22</v>
      </c>
    </row>
    <row r="137" spans="1:1">
      <c r="A137" s="182" t="s">
        <v>500</v>
      </c>
    </row>
    <row r="138" spans="1:1">
      <c r="A138" s="182" t="s">
        <v>280</v>
      </c>
    </row>
    <row r="139" spans="1:1">
      <c r="A139" s="182" t="s">
        <v>63</v>
      </c>
    </row>
    <row r="140" spans="1:1">
      <c r="A140" s="182" t="s">
        <v>495</v>
      </c>
    </row>
    <row r="141" spans="1:1">
      <c r="A141" s="182" t="s">
        <v>275</v>
      </c>
    </row>
    <row r="142" spans="1:1">
      <c r="A142" s="182" t="s">
        <v>310</v>
      </c>
    </row>
    <row r="143" spans="1:1">
      <c r="A143" s="182" t="s">
        <v>257</v>
      </c>
    </row>
    <row r="144" spans="1:1">
      <c r="A144" s="182" t="s">
        <v>494</v>
      </c>
    </row>
    <row r="145" spans="1:1">
      <c r="A145" s="182" t="s">
        <v>172</v>
      </c>
    </row>
    <row r="146" spans="1:1">
      <c r="A146" s="182" t="s">
        <v>507</v>
      </c>
    </row>
    <row r="147" spans="1:1">
      <c r="A147" s="182" t="s">
        <v>237</v>
      </c>
    </row>
    <row r="148" spans="1:1">
      <c r="A148" s="182" t="s">
        <v>485</v>
      </c>
    </row>
    <row r="149" spans="1:1">
      <c r="A149" s="182" t="s">
        <v>366</v>
      </c>
    </row>
    <row r="150" spans="1:1">
      <c r="A150" s="182" t="s">
        <v>140</v>
      </c>
    </row>
    <row r="151" spans="1:1">
      <c r="A151" s="182" t="s">
        <v>456</v>
      </c>
    </row>
    <row r="152" spans="1:1">
      <c r="A152" s="182" t="s">
        <v>197</v>
      </c>
    </row>
    <row r="153" spans="1:1">
      <c r="A153" s="182" t="s">
        <v>198</v>
      </c>
    </row>
    <row r="154" spans="1:1">
      <c r="A154" s="182" t="s">
        <v>487</v>
      </c>
    </row>
    <row r="155" spans="1:1">
      <c r="A155" s="182" t="s">
        <v>370</v>
      </c>
    </row>
    <row r="156" spans="1:1">
      <c r="A156" s="182" t="s">
        <v>177</v>
      </c>
    </row>
    <row r="157" spans="1:1">
      <c r="A157" s="182" t="s">
        <v>160</v>
      </c>
    </row>
    <row r="158" spans="1:1">
      <c r="A158" s="182" t="s">
        <v>50</v>
      </c>
    </row>
    <row r="159" spans="1:1">
      <c r="A159" s="182" t="s">
        <v>290</v>
      </c>
    </row>
    <row r="160" spans="1:1">
      <c r="A160" s="182" t="s">
        <v>493</v>
      </c>
    </row>
    <row r="161" spans="1:1">
      <c r="A161" s="182" t="s">
        <v>311</v>
      </c>
    </row>
    <row r="162" spans="1:1">
      <c r="A162" s="182" t="s">
        <v>504</v>
      </c>
    </row>
    <row r="163" spans="1:1">
      <c r="A163" s="182" t="s">
        <v>263</v>
      </c>
    </row>
    <row r="164" spans="1:1">
      <c r="A164" s="182" t="s">
        <v>286</v>
      </c>
    </row>
    <row r="165" spans="1:1">
      <c r="A165" s="182" t="s">
        <v>367</v>
      </c>
    </row>
    <row r="166" spans="1:1">
      <c r="A166" s="182" t="s">
        <v>505</v>
      </c>
    </row>
    <row r="167" spans="1:1">
      <c r="A167" s="182" t="s">
        <v>334</v>
      </c>
    </row>
    <row r="168" spans="1:1">
      <c r="A168" s="182" t="s">
        <v>239</v>
      </c>
    </row>
    <row r="169" spans="1:1">
      <c r="A169" s="182" t="s">
        <v>492</v>
      </c>
    </row>
    <row r="170" spans="1:1">
      <c r="A170" s="182" t="s">
        <v>312</v>
      </c>
    </row>
    <row r="171" spans="1:1">
      <c r="A171" s="182" t="s">
        <v>313</v>
      </c>
    </row>
    <row r="172" spans="1:1">
      <c r="A172" s="182" t="s">
        <v>200</v>
      </c>
    </row>
    <row r="173" spans="1:1">
      <c r="A173" s="182" t="s">
        <v>20</v>
      </c>
    </row>
    <row r="174" spans="1:1">
      <c r="A174" s="182" t="s">
        <v>262</v>
      </c>
    </row>
    <row r="175" spans="1:1">
      <c r="A175" s="182" t="s">
        <v>72</v>
      </c>
    </row>
    <row r="176" spans="1:1">
      <c r="A176" s="182" t="s">
        <v>44</v>
      </c>
    </row>
    <row r="177" spans="1:1">
      <c r="A177" s="182" t="s">
        <v>150</v>
      </c>
    </row>
    <row r="178" spans="1:1">
      <c r="A178" s="182" t="s">
        <v>383</v>
      </c>
    </row>
    <row r="179" spans="1:1">
      <c r="A179" s="182" t="s">
        <v>128</v>
      </c>
    </row>
    <row r="180" spans="1:1">
      <c r="A180" s="182" t="s">
        <v>34</v>
      </c>
    </row>
    <row r="181" spans="1:1">
      <c r="A181" s="182" t="s">
        <v>384</v>
      </c>
    </row>
    <row r="182" spans="1:1">
      <c r="A182" s="182" t="s">
        <v>52</v>
      </c>
    </row>
    <row r="183" spans="1:1">
      <c r="A183" s="182" t="s">
        <v>298</v>
      </c>
    </row>
    <row r="184" spans="1:1">
      <c r="A184" s="182" t="s">
        <v>84</v>
      </c>
    </row>
    <row r="185" spans="1:1">
      <c r="A185" s="182" t="s">
        <v>163</v>
      </c>
    </row>
    <row r="186" spans="1:1">
      <c r="A186" s="182" t="s">
        <v>512</v>
      </c>
    </row>
    <row r="187" spans="1:1">
      <c r="A187" s="182" t="s">
        <v>513</v>
      </c>
    </row>
    <row r="188" spans="1:1">
      <c r="A188" s="182" t="s">
        <v>514</v>
      </c>
    </row>
    <row r="189" spans="1:1">
      <c r="A189" s="182" t="s">
        <v>515</v>
      </c>
    </row>
    <row r="190" spans="1:1">
      <c r="A190" s="182" t="s">
        <v>516</v>
      </c>
    </row>
    <row r="191" spans="1:1">
      <c r="A191" s="182" t="s">
        <v>518</v>
      </c>
    </row>
    <row r="192" spans="1:1">
      <c r="A192" s="182" t="s">
        <v>532</v>
      </c>
    </row>
    <row r="193" spans="1:1">
      <c r="A193" s="182" t="s">
        <v>539</v>
      </c>
    </row>
    <row r="194" spans="1:1">
      <c r="A194" s="182" t="s">
        <v>540</v>
      </c>
    </row>
    <row r="195" spans="1:1">
      <c r="A195" s="182" t="s">
        <v>542</v>
      </c>
    </row>
    <row r="196" spans="1:1">
      <c r="A196" s="182" t="s">
        <v>546</v>
      </c>
    </row>
    <row r="197" spans="1:1">
      <c r="A197" s="182" t="s">
        <v>547</v>
      </c>
    </row>
    <row r="198" spans="1:1">
      <c r="A198" s="182" t="s">
        <v>548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9"/>
  <sheetViews>
    <sheetView topLeftCell="A121" workbookViewId="0">
      <selection activeCell="H15" sqref="H15"/>
    </sheetView>
  </sheetViews>
  <sheetFormatPr defaultRowHeight="14.4"/>
  <cols>
    <col min="1" max="1" width="25.44140625" bestFit="1" customWidth="1"/>
    <col min="2" max="2" width="16.109375" bestFit="1" customWidth="1"/>
    <col min="3" max="3" width="15.109375" bestFit="1" customWidth="1"/>
    <col min="4" max="4" width="12.5546875" customWidth="1"/>
    <col min="5" max="5" width="15.5546875" bestFit="1" customWidth="1"/>
    <col min="6" max="6" width="11.5546875" bestFit="1" customWidth="1"/>
    <col min="7" max="7" width="11.5546875" style="203" customWidth="1"/>
    <col min="8" max="8" width="13.88671875" style="203" bestFit="1" customWidth="1"/>
    <col min="9" max="9" width="11.6640625" bestFit="1" customWidth="1"/>
    <col min="10" max="10" width="34.44140625" style="203" bestFit="1" customWidth="1"/>
    <col min="11" max="11" width="7.109375" style="203" customWidth="1"/>
    <col min="12" max="12" width="39" style="203" bestFit="1" customWidth="1"/>
    <col min="13" max="13" width="8.6640625" style="203" customWidth="1"/>
    <col min="14" max="14" width="24.88671875" bestFit="1" customWidth="1"/>
  </cols>
  <sheetData>
    <row r="1" spans="1:13">
      <c r="A1" s="179" t="s">
        <v>325</v>
      </c>
      <c r="B1" s="145">
        <v>2013</v>
      </c>
    </row>
    <row r="2" spans="1:13">
      <c r="A2" s="179" t="s">
        <v>324</v>
      </c>
      <c r="B2" s="205" t="s">
        <v>551</v>
      </c>
    </row>
    <row r="4" spans="1:13">
      <c r="B4" s="179" t="s">
        <v>322</v>
      </c>
      <c r="F4" s="199"/>
      <c r="G4" s="199"/>
      <c r="H4" s="199"/>
      <c r="I4" s="201" t="s">
        <v>519</v>
      </c>
      <c r="J4" s="204"/>
      <c r="K4" s="204"/>
      <c r="L4" s="204"/>
      <c r="M4" s="204"/>
    </row>
    <row r="5" spans="1:13">
      <c r="A5" s="179" t="s">
        <v>550</v>
      </c>
      <c r="B5" s="205" t="s">
        <v>321</v>
      </c>
      <c r="C5" s="205" t="s">
        <v>323</v>
      </c>
      <c r="F5" s="200"/>
      <c r="G5" s="200"/>
      <c r="H5" s="200"/>
      <c r="I5" s="201" t="s">
        <v>520</v>
      </c>
      <c r="J5" s="204"/>
      <c r="K5" s="204"/>
      <c r="L5" s="204"/>
      <c r="M5" s="204"/>
    </row>
    <row r="6" spans="1:13">
      <c r="A6" s="182" t="s">
        <v>328</v>
      </c>
      <c r="B6" s="198">
        <v>145833166.18000001</v>
      </c>
      <c r="C6" s="198">
        <v>378.5</v>
      </c>
      <c r="F6" s="202"/>
      <c r="G6" s="202"/>
      <c r="H6" s="202"/>
      <c r="I6" s="201" t="s">
        <v>521</v>
      </c>
      <c r="J6" s="204"/>
      <c r="K6" s="204"/>
      <c r="L6" s="204"/>
      <c r="M6" s="204"/>
    </row>
    <row r="7" spans="1:13">
      <c r="A7" s="144" t="s">
        <v>339</v>
      </c>
      <c r="B7" s="198">
        <v>45124809.740000002</v>
      </c>
      <c r="C7" s="198">
        <v>101</v>
      </c>
    </row>
    <row r="8" spans="1:13">
      <c r="A8" s="146" t="s">
        <v>309</v>
      </c>
      <c r="B8" s="198">
        <v>3110000</v>
      </c>
      <c r="C8" s="198">
        <v>2</v>
      </c>
    </row>
    <row r="9" spans="1:13">
      <c r="A9" s="146" t="s">
        <v>461</v>
      </c>
      <c r="B9" s="198">
        <v>2379000</v>
      </c>
      <c r="C9" s="198">
        <v>1</v>
      </c>
      <c r="G9"/>
      <c r="H9"/>
      <c r="J9"/>
      <c r="K9"/>
      <c r="L9"/>
      <c r="M9"/>
    </row>
    <row r="10" spans="1:13">
      <c r="A10" s="146" t="s">
        <v>313</v>
      </c>
      <c r="B10" s="198">
        <v>2375000</v>
      </c>
      <c r="C10" s="198">
        <v>1</v>
      </c>
      <c r="G10"/>
      <c r="H10"/>
      <c r="J10"/>
      <c r="K10"/>
      <c r="L10"/>
      <c r="M10"/>
    </row>
    <row r="11" spans="1:13">
      <c r="A11" s="146" t="s">
        <v>173</v>
      </c>
      <c r="B11" s="198">
        <v>2130000</v>
      </c>
      <c r="C11" s="198">
        <v>1</v>
      </c>
      <c r="G11"/>
      <c r="H11"/>
      <c r="J11"/>
      <c r="K11"/>
      <c r="L11"/>
      <c r="M11"/>
    </row>
    <row r="12" spans="1:13">
      <c r="A12" s="146" t="s">
        <v>47</v>
      </c>
      <c r="B12" s="198">
        <v>2129100</v>
      </c>
      <c r="C12" s="198">
        <v>3</v>
      </c>
      <c r="G12"/>
      <c r="H12"/>
      <c r="J12"/>
      <c r="K12"/>
      <c r="L12"/>
      <c r="M12"/>
    </row>
    <row r="13" spans="1:13">
      <c r="A13" s="146" t="s">
        <v>19</v>
      </c>
      <c r="B13" s="198">
        <v>1872324.31</v>
      </c>
      <c r="C13" s="198">
        <v>8.5</v>
      </c>
      <c r="G13"/>
      <c r="H13"/>
      <c r="J13"/>
      <c r="K13"/>
      <c r="L13"/>
      <c r="M13"/>
    </row>
    <row r="14" spans="1:13">
      <c r="A14" s="146" t="s">
        <v>77</v>
      </c>
      <c r="B14" s="198">
        <v>1732052</v>
      </c>
      <c r="C14" s="198">
        <v>4</v>
      </c>
      <c r="G14"/>
      <c r="H14"/>
      <c r="J14"/>
      <c r="K14"/>
      <c r="L14"/>
      <c r="M14"/>
    </row>
    <row r="15" spans="1:13">
      <c r="A15" s="146" t="s">
        <v>36</v>
      </c>
      <c r="B15" s="198">
        <v>1677679.9</v>
      </c>
      <c r="C15" s="198">
        <v>3</v>
      </c>
      <c r="G15"/>
      <c r="H15"/>
      <c r="J15"/>
      <c r="K15"/>
      <c r="L15"/>
      <c r="M15"/>
    </row>
    <row r="16" spans="1:13">
      <c r="A16" s="146" t="s">
        <v>307</v>
      </c>
      <c r="B16" s="198">
        <v>1671800</v>
      </c>
      <c r="C16" s="198">
        <v>3</v>
      </c>
      <c r="G16"/>
      <c r="H16"/>
      <c r="J16"/>
      <c r="K16"/>
      <c r="L16"/>
      <c r="M16"/>
    </row>
    <row r="17" spans="1:13">
      <c r="A17" s="146" t="s">
        <v>367</v>
      </c>
      <c r="B17" s="198">
        <v>1586639.25</v>
      </c>
      <c r="C17" s="198">
        <v>2</v>
      </c>
      <c r="G17"/>
      <c r="H17"/>
      <c r="J17"/>
      <c r="K17"/>
      <c r="L17"/>
      <c r="M17"/>
    </row>
    <row r="18" spans="1:13">
      <c r="A18" s="146" t="s">
        <v>505</v>
      </c>
      <c r="B18" s="198">
        <v>1399924</v>
      </c>
      <c r="C18" s="198">
        <v>3</v>
      </c>
      <c r="G18"/>
      <c r="H18"/>
      <c r="J18"/>
      <c r="K18"/>
      <c r="L18"/>
      <c r="M18"/>
    </row>
    <row r="19" spans="1:13">
      <c r="A19" s="146" t="s">
        <v>375</v>
      </c>
      <c r="B19" s="198">
        <v>1149000</v>
      </c>
      <c r="C19" s="198">
        <v>5</v>
      </c>
      <c r="G19"/>
      <c r="H19"/>
      <c r="J19"/>
      <c r="K19"/>
      <c r="L19"/>
      <c r="M19"/>
    </row>
    <row r="20" spans="1:13">
      <c r="A20" s="146" t="s">
        <v>43</v>
      </c>
      <c r="B20" s="198">
        <v>1125475</v>
      </c>
      <c r="C20" s="198">
        <v>4</v>
      </c>
      <c r="G20"/>
      <c r="H20"/>
      <c r="J20"/>
      <c r="K20"/>
      <c r="L20"/>
      <c r="M20"/>
    </row>
    <row r="21" spans="1:13">
      <c r="A21" s="146" t="s">
        <v>37</v>
      </c>
      <c r="B21" s="198">
        <v>1101182.18</v>
      </c>
      <c r="C21" s="198">
        <v>4</v>
      </c>
      <c r="G21"/>
      <c r="H21"/>
      <c r="J21"/>
      <c r="K21"/>
      <c r="L21"/>
      <c r="M21"/>
    </row>
    <row r="22" spans="1:13">
      <c r="A22" s="146" t="s">
        <v>39</v>
      </c>
      <c r="B22" s="198">
        <v>1094126.26</v>
      </c>
      <c r="C22" s="198">
        <v>3</v>
      </c>
      <c r="G22"/>
      <c r="H22"/>
      <c r="J22"/>
      <c r="K22"/>
      <c r="L22"/>
      <c r="M22"/>
    </row>
    <row r="23" spans="1:13">
      <c r="A23" s="146" t="s">
        <v>381</v>
      </c>
      <c r="B23" s="198">
        <v>1088106</v>
      </c>
      <c r="C23" s="198">
        <v>3</v>
      </c>
    </row>
    <row r="24" spans="1:13">
      <c r="A24" s="146" t="s">
        <v>262</v>
      </c>
      <c r="B24" s="198">
        <v>1074999.99</v>
      </c>
      <c r="C24" s="198">
        <v>3</v>
      </c>
    </row>
    <row r="25" spans="1:13">
      <c r="A25" s="146" t="s">
        <v>469</v>
      </c>
      <c r="B25" s="198">
        <v>1042672</v>
      </c>
      <c r="C25" s="198">
        <v>3</v>
      </c>
    </row>
    <row r="26" spans="1:13">
      <c r="A26" s="146" t="s">
        <v>148</v>
      </c>
      <c r="B26" s="198">
        <v>1031545.2</v>
      </c>
      <c r="C26" s="198">
        <v>4.5</v>
      </c>
    </row>
    <row r="27" spans="1:13">
      <c r="A27" s="146" t="s">
        <v>253</v>
      </c>
      <c r="B27" s="198">
        <v>894950</v>
      </c>
      <c r="C27" s="198">
        <v>3</v>
      </c>
    </row>
    <row r="28" spans="1:13">
      <c r="A28" s="146" t="s">
        <v>456</v>
      </c>
      <c r="B28" s="198">
        <v>888111.76</v>
      </c>
      <c r="C28" s="198">
        <v>2</v>
      </c>
    </row>
    <row r="29" spans="1:13">
      <c r="A29" s="146" t="s">
        <v>40</v>
      </c>
      <c r="B29" s="198">
        <v>840000</v>
      </c>
      <c r="C29" s="198">
        <v>1</v>
      </c>
    </row>
    <row r="30" spans="1:13">
      <c r="A30" s="146" t="s">
        <v>197</v>
      </c>
      <c r="B30" s="198">
        <v>780438.71</v>
      </c>
      <c r="C30" s="198">
        <v>2.5</v>
      </c>
    </row>
    <row r="31" spans="1:13">
      <c r="A31" s="146" t="s">
        <v>44</v>
      </c>
      <c r="B31" s="198">
        <v>725973.53</v>
      </c>
      <c r="C31" s="198">
        <v>1</v>
      </c>
    </row>
    <row r="32" spans="1:13">
      <c r="A32" s="146" t="s">
        <v>18</v>
      </c>
      <c r="B32" s="198">
        <v>703365.38</v>
      </c>
      <c r="C32" s="198">
        <v>3</v>
      </c>
    </row>
    <row r="33" spans="1:3">
      <c r="A33" s="146" t="s">
        <v>104</v>
      </c>
      <c r="B33" s="198">
        <v>576268.43000000005</v>
      </c>
      <c r="C33" s="198">
        <v>2</v>
      </c>
    </row>
    <row r="34" spans="1:3">
      <c r="A34" s="146" t="s">
        <v>194</v>
      </c>
      <c r="B34" s="198">
        <v>543493</v>
      </c>
      <c r="C34" s="198">
        <v>1</v>
      </c>
    </row>
    <row r="35" spans="1:3">
      <c r="A35" s="146" t="s">
        <v>473</v>
      </c>
      <c r="B35" s="198">
        <v>515800</v>
      </c>
      <c r="C35" s="198">
        <v>1</v>
      </c>
    </row>
    <row r="36" spans="1:3">
      <c r="A36" s="146" t="s">
        <v>369</v>
      </c>
      <c r="B36" s="198">
        <v>485000</v>
      </c>
      <c r="C36" s="198">
        <v>1</v>
      </c>
    </row>
    <row r="37" spans="1:3">
      <c r="A37" s="146" t="s">
        <v>306</v>
      </c>
      <c r="B37" s="198">
        <v>450000</v>
      </c>
      <c r="C37" s="198">
        <v>1</v>
      </c>
    </row>
    <row r="38" spans="1:3">
      <c r="A38" s="146" t="s">
        <v>459</v>
      </c>
      <c r="B38" s="198">
        <v>443277.5</v>
      </c>
      <c r="C38" s="198">
        <v>1</v>
      </c>
    </row>
    <row r="39" spans="1:3">
      <c r="A39" s="146" t="s">
        <v>379</v>
      </c>
      <c r="B39" s="198">
        <v>436000</v>
      </c>
      <c r="C39" s="198">
        <v>1</v>
      </c>
    </row>
    <row r="40" spans="1:3">
      <c r="A40" s="146" t="s">
        <v>198</v>
      </c>
      <c r="B40" s="198">
        <v>434712</v>
      </c>
      <c r="C40" s="198">
        <v>1</v>
      </c>
    </row>
    <row r="41" spans="1:3">
      <c r="A41" s="146" t="s">
        <v>257</v>
      </c>
      <c r="B41" s="198">
        <v>400010.92</v>
      </c>
      <c r="C41" s="198">
        <v>1</v>
      </c>
    </row>
    <row r="42" spans="1:3">
      <c r="A42" s="146" t="s">
        <v>372</v>
      </c>
      <c r="B42" s="198">
        <v>400000</v>
      </c>
      <c r="C42" s="198">
        <v>1</v>
      </c>
    </row>
    <row r="43" spans="1:3">
      <c r="A43" s="146" t="s">
        <v>129</v>
      </c>
      <c r="B43" s="198">
        <v>400000</v>
      </c>
      <c r="C43" s="198">
        <v>1</v>
      </c>
    </row>
    <row r="44" spans="1:3">
      <c r="A44" s="146" t="s">
        <v>333</v>
      </c>
      <c r="B44" s="198">
        <v>372428.33999999997</v>
      </c>
      <c r="C44" s="198">
        <v>1.5</v>
      </c>
    </row>
    <row r="45" spans="1:3">
      <c r="A45" s="146" t="s">
        <v>48</v>
      </c>
      <c r="B45" s="198">
        <v>372100</v>
      </c>
      <c r="C45" s="198">
        <v>1</v>
      </c>
    </row>
    <row r="46" spans="1:3">
      <c r="A46" s="146" t="s">
        <v>147</v>
      </c>
      <c r="B46" s="198">
        <v>371619.29</v>
      </c>
      <c r="C46" s="198">
        <v>1</v>
      </c>
    </row>
    <row r="47" spans="1:3">
      <c r="A47" s="146" t="s">
        <v>296</v>
      </c>
      <c r="B47" s="198">
        <v>362500</v>
      </c>
      <c r="C47" s="198">
        <v>1.5</v>
      </c>
    </row>
    <row r="48" spans="1:3">
      <c r="A48" s="146" t="s">
        <v>384</v>
      </c>
      <c r="B48" s="198">
        <v>355275</v>
      </c>
      <c r="C48" s="198">
        <v>1.5</v>
      </c>
    </row>
    <row r="49" spans="1:3">
      <c r="A49" s="146" t="s">
        <v>20</v>
      </c>
      <c r="B49" s="198">
        <v>319600</v>
      </c>
      <c r="C49" s="198">
        <v>0.5</v>
      </c>
    </row>
    <row r="50" spans="1:3">
      <c r="A50" s="146" t="s">
        <v>41</v>
      </c>
      <c r="B50" s="198">
        <v>319600</v>
      </c>
      <c r="C50" s="198">
        <v>0.5</v>
      </c>
    </row>
    <row r="51" spans="1:3">
      <c r="A51" s="146" t="s">
        <v>49</v>
      </c>
      <c r="B51" s="198">
        <v>295714.84000000003</v>
      </c>
      <c r="C51" s="198">
        <v>1</v>
      </c>
    </row>
    <row r="52" spans="1:3">
      <c r="A52" s="146" t="s">
        <v>87</v>
      </c>
      <c r="B52" s="198">
        <v>265300</v>
      </c>
      <c r="C52" s="198">
        <v>0.5</v>
      </c>
    </row>
    <row r="53" spans="1:3">
      <c r="A53" s="146" t="s">
        <v>462</v>
      </c>
      <c r="B53" s="198">
        <v>256323.95</v>
      </c>
      <c r="C53" s="198">
        <v>1</v>
      </c>
    </row>
    <row r="54" spans="1:3">
      <c r="A54" s="146" t="s">
        <v>235</v>
      </c>
      <c r="B54" s="198">
        <v>250000</v>
      </c>
      <c r="C54" s="198">
        <v>1</v>
      </c>
    </row>
    <row r="55" spans="1:3">
      <c r="A55" s="146" t="s">
        <v>331</v>
      </c>
      <c r="B55" s="198">
        <v>225000</v>
      </c>
      <c r="C55" s="198">
        <v>1</v>
      </c>
    </row>
    <row r="56" spans="1:3">
      <c r="A56" s="146" t="s">
        <v>502</v>
      </c>
      <c r="B56" s="198">
        <v>133175</v>
      </c>
      <c r="C56" s="198">
        <v>0.5</v>
      </c>
    </row>
    <row r="57" spans="1:3">
      <c r="A57" s="146" t="s">
        <v>501</v>
      </c>
      <c r="B57" s="198">
        <v>133175</v>
      </c>
      <c r="C57" s="198">
        <v>0.5</v>
      </c>
    </row>
    <row r="58" spans="1:3">
      <c r="A58" s="146" t="s">
        <v>237</v>
      </c>
      <c r="B58" s="198">
        <v>130000</v>
      </c>
      <c r="C58" s="198">
        <v>0.5</v>
      </c>
    </row>
    <row r="59" spans="1:3">
      <c r="A59" s="146" t="s">
        <v>334</v>
      </c>
      <c r="B59" s="198">
        <v>130000</v>
      </c>
      <c r="C59" s="198">
        <v>0.5</v>
      </c>
    </row>
    <row r="60" spans="1:3">
      <c r="A60" s="146" t="s">
        <v>65</v>
      </c>
      <c r="B60" s="198">
        <v>108675</v>
      </c>
      <c r="C60" s="198">
        <v>0.5</v>
      </c>
    </row>
    <row r="61" spans="1:3">
      <c r="A61" s="146" t="s">
        <v>196</v>
      </c>
      <c r="B61" s="198">
        <v>36296</v>
      </c>
      <c r="C61" s="198">
        <v>1</v>
      </c>
    </row>
    <row r="62" spans="1:3">
      <c r="A62" s="144" t="s">
        <v>340</v>
      </c>
      <c r="B62" s="198">
        <v>100708356.44000003</v>
      </c>
      <c r="C62" s="198">
        <v>277.5</v>
      </c>
    </row>
    <row r="63" spans="1:3">
      <c r="A63" s="146" t="s">
        <v>302</v>
      </c>
      <c r="B63" s="198">
        <v>6263504.1900000004</v>
      </c>
      <c r="C63" s="198">
        <v>14.5</v>
      </c>
    </row>
    <row r="64" spans="1:3">
      <c r="A64" s="146" t="s">
        <v>282</v>
      </c>
      <c r="B64" s="198">
        <v>2982868.25</v>
      </c>
      <c r="C64" s="198">
        <v>7</v>
      </c>
    </row>
    <row r="65" spans="1:3">
      <c r="A65" s="146" t="s">
        <v>62</v>
      </c>
      <c r="B65" s="198">
        <v>2943179.14</v>
      </c>
      <c r="C65" s="198">
        <v>8.5</v>
      </c>
    </row>
    <row r="66" spans="1:3">
      <c r="A66" s="146" t="s">
        <v>196</v>
      </c>
      <c r="B66" s="198">
        <v>2832350.72</v>
      </c>
      <c r="C66" s="198">
        <v>9.5</v>
      </c>
    </row>
    <row r="67" spans="1:3">
      <c r="A67" s="146" t="s">
        <v>172</v>
      </c>
      <c r="B67" s="198">
        <v>2757287.12</v>
      </c>
      <c r="C67" s="198">
        <v>9</v>
      </c>
    </row>
    <row r="68" spans="1:3">
      <c r="A68" s="146" t="s">
        <v>291</v>
      </c>
      <c r="B68" s="198">
        <v>2617907.7399999998</v>
      </c>
      <c r="C68" s="198">
        <v>6</v>
      </c>
    </row>
    <row r="69" spans="1:3">
      <c r="A69" s="146" t="s">
        <v>309</v>
      </c>
      <c r="B69" s="198">
        <v>2612313.5</v>
      </c>
      <c r="C69" s="198">
        <v>8</v>
      </c>
    </row>
    <row r="70" spans="1:3">
      <c r="A70" s="146" t="s">
        <v>304</v>
      </c>
      <c r="B70" s="198">
        <v>2353840.89</v>
      </c>
      <c r="C70" s="198">
        <v>5</v>
      </c>
    </row>
    <row r="71" spans="1:3">
      <c r="A71" s="146" t="s">
        <v>274</v>
      </c>
      <c r="B71" s="198">
        <v>2187697.48</v>
      </c>
      <c r="C71" s="198">
        <v>4.5</v>
      </c>
    </row>
    <row r="72" spans="1:3">
      <c r="A72" s="146" t="s">
        <v>160</v>
      </c>
      <c r="B72" s="198">
        <v>2064225.38</v>
      </c>
      <c r="C72" s="198">
        <v>6.5</v>
      </c>
    </row>
    <row r="73" spans="1:3">
      <c r="A73" s="146" t="s">
        <v>494</v>
      </c>
      <c r="B73" s="198">
        <v>1877516.6350000002</v>
      </c>
      <c r="C73" s="198">
        <v>6</v>
      </c>
    </row>
    <row r="74" spans="1:3">
      <c r="A74" s="146" t="s">
        <v>87</v>
      </c>
      <c r="B74" s="198">
        <v>1860768.14</v>
      </c>
      <c r="C74" s="198">
        <v>6.5</v>
      </c>
    </row>
    <row r="75" spans="1:3">
      <c r="A75" s="146" t="s">
        <v>286</v>
      </c>
      <c r="B75" s="198">
        <v>1817990.5899999999</v>
      </c>
      <c r="C75" s="198">
        <v>4.5</v>
      </c>
    </row>
    <row r="76" spans="1:3">
      <c r="A76" s="146" t="s">
        <v>197</v>
      </c>
      <c r="B76" s="198">
        <v>1809401.33</v>
      </c>
      <c r="C76" s="198">
        <v>5</v>
      </c>
    </row>
    <row r="77" spans="1:3">
      <c r="A77" s="146" t="s">
        <v>198</v>
      </c>
      <c r="B77" s="198">
        <v>1798467.58</v>
      </c>
      <c r="C77" s="198">
        <v>4</v>
      </c>
    </row>
    <row r="78" spans="1:3">
      <c r="A78" s="146" t="s">
        <v>310</v>
      </c>
      <c r="B78" s="198">
        <v>1786154.17</v>
      </c>
      <c r="C78" s="198">
        <v>4</v>
      </c>
    </row>
    <row r="79" spans="1:3">
      <c r="A79" s="146" t="s">
        <v>84</v>
      </c>
      <c r="B79" s="198">
        <v>1748789.3150000002</v>
      </c>
      <c r="C79" s="198">
        <v>6</v>
      </c>
    </row>
    <row r="80" spans="1:3">
      <c r="A80" s="146" t="s">
        <v>177</v>
      </c>
      <c r="B80" s="198">
        <v>1655063.7000000002</v>
      </c>
      <c r="C80" s="198">
        <v>5</v>
      </c>
    </row>
    <row r="81" spans="1:3">
      <c r="A81" s="146" t="s">
        <v>311</v>
      </c>
      <c r="B81" s="198">
        <v>1590688.99</v>
      </c>
      <c r="C81" s="198">
        <v>4</v>
      </c>
    </row>
    <row r="82" spans="1:3">
      <c r="A82" s="146" t="s">
        <v>307</v>
      </c>
      <c r="B82" s="198">
        <v>1466582.6099999999</v>
      </c>
      <c r="C82" s="198">
        <v>4</v>
      </c>
    </row>
    <row r="83" spans="1:3">
      <c r="A83" s="146" t="s">
        <v>56</v>
      </c>
      <c r="B83" s="198">
        <v>1393600</v>
      </c>
      <c r="C83" s="198">
        <v>5</v>
      </c>
    </row>
    <row r="84" spans="1:3">
      <c r="A84" s="146" t="s">
        <v>333</v>
      </c>
      <c r="B84" s="198">
        <v>1318769.72</v>
      </c>
      <c r="C84" s="198">
        <v>4</v>
      </c>
    </row>
    <row r="85" spans="1:3">
      <c r="A85" s="146" t="s">
        <v>39</v>
      </c>
      <c r="B85" s="198">
        <v>1307999.2</v>
      </c>
      <c r="C85" s="198">
        <v>4.5</v>
      </c>
    </row>
    <row r="86" spans="1:3">
      <c r="A86" s="146" t="s">
        <v>295</v>
      </c>
      <c r="B86" s="198">
        <v>1305281.6200000001</v>
      </c>
      <c r="C86" s="198">
        <v>2.5</v>
      </c>
    </row>
    <row r="87" spans="1:3">
      <c r="A87" s="146" t="s">
        <v>42</v>
      </c>
      <c r="B87" s="198">
        <v>1255810.07</v>
      </c>
      <c r="C87" s="198">
        <v>3.5</v>
      </c>
    </row>
    <row r="88" spans="1:3">
      <c r="A88" s="146" t="s">
        <v>497</v>
      </c>
      <c r="B88" s="198">
        <v>1245981.8700000001</v>
      </c>
      <c r="C88" s="198">
        <v>4</v>
      </c>
    </row>
    <row r="89" spans="1:3">
      <c r="A89" s="146" t="s">
        <v>366</v>
      </c>
      <c r="B89" s="198">
        <v>1233403.3500000001</v>
      </c>
      <c r="C89" s="198">
        <v>3</v>
      </c>
    </row>
    <row r="90" spans="1:3">
      <c r="A90" s="146" t="s">
        <v>336</v>
      </c>
      <c r="B90" s="198">
        <v>1163938</v>
      </c>
      <c r="C90" s="198">
        <v>2</v>
      </c>
    </row>
    <row r="91" spans="1:3">
      <c r="A91" s="146" t="s">
        <v>308</v>
      </c>
      <c r="B91" s="198">
        <v>1132500</v>
      </c>
      <c r="C91" s="198">
        <v>3</v>
      </c>
    </row>
    <row r="92" spans="1:3">
      <c r="A92" s="146" t="s">
        <v>18</v>
      </c>
      <c r="B92" s="198">
        <v>1124511</v>
      </c>
      <c r="C92" s="198">
        <v>4</v>
      </c>
    </row>
    <row r="93" spans="1:3">
      <c r="A93" s="146" t="s">
        <v>456</v>
      </c>
      <c r="B93" s="198">
        <v>1063755.2</v>
      </c>
      <c r="C93" s="198">
        <v>4</v>
      </c>
    </row>
    <row r="94" spans="1:3">
      <c r="A94" s="146" t="s">
        <v>173</v>
      </c>
      <c r="B94" s="198">
        <v>1049909.33</v>
      </c>
      <c r="C94" s="198">
        <v>3</v>
      </c>
    </row>
    <row r="95" spans="1:3">
      <c r="A95" s="146" t="s">
        <v>500</v>
      </c>
      <c r="B95" s="198">
        <v>1039610</v>
      </c>
      <c r="C95" s="198">
        <v>4</v>
      </c>
    </row>
    <row r="96" spans="1:3">
      <c r="A96" s="146" t="s">
        <v>383</v>
      </c>
      <c r="B96" s="198">
        <v>991106.77</v>
      </c>
      <c r="C96" s="198">
        <v>2</v>
      </c>
    </row>
    <row r="97" spans="1:3">
      <c r="A97" s="146" t="s">
        <v>235</v>
      </c>
      <c r="B97" s="198">
        <v>961397.40999999992</v>
      </c>
      <c r="C97" s="198">
        <v>1.5</v>
      </c>
    </row>
    <row r="98" spans="1:3">
      <c r="A98" s="146" t="s">
        <v>22</v>
      </c>
      <c r="B98" s="198">
        <v>954916.54</v>
      </c>
      <c r="C98" s="198">
        <v>2.5</v>
      </c>
    </row>
    <row r="99" spans="1:3">
      <c r="A99" s="146" t="s">
        <v>377</v>
      </c>
      <c r="B99" s="198">
        <v>952111.3</v>
      </c>
      <c r="C99" s="198">
        <v>2</v>
      </c>
    </row>
    <row r="100" spans="1:3">
      <c r="A100" s="146" t="s">
        <v>503</v>
      </c>
      <c r="B100" s="198">
        <v>950200</v>
      </c>
      <c r="C100" s="198">
        <v>2</v>
      </c>
    </row>
    <row r="101" spans="1:3">
      <c r="A101" s="146" t="s">
        <v>290</v>
      </c>
      <c r="B101" s="198">
        <v>948964.6</v>
      </c>
      <c r="C101" s="198">
        <v>2</v>
      </c>
    </row>
    <row r="102" spans="1:3">
      <c r="A102" s="146" t="s">
        <v>179</v>
      </c>
      <c r="B102" s="198">
        <v>915833.16999999993</v>
      </c>
      <c r="C102" s="198">
        <v>2.5</v>
      </c>
    </row>
    <row r="103" spans="1:3">
      <c r="A103" s="146" t="s">
        <v>473</v>
      </c>
      <c r="B103" s="198">
        <v>906431.32000000007</v>
      </c>
      <c r="C103" s="198">
        <v>3</v>
      </c>
    </row>
    <row r="104" spans="1:3">
      <c r="A104" s="146" t="s">
        <v>312</v>
      </c>
      <c r="B104" s="198">
        <v>901139.62</v>
      </c>
      <c r="C104" s="198">
        <v>2</v>
      </c>
    </row>
    <row r="105" spans="1:3">
      <c r="A105" s="146" t="s">
        <v>283</v>
      </c>
      <c r="B105" s="198">
        <v>855664.53</v>
      </c>
      <c r="C105" s="198">
        <v>2</v>
      </c>
    </row>
    <row r="106" spans="1:3">
      <c r="A106" s="146" t="s">
        <v>55</v>
      </c>
      <c r="B106" s="198">
        <v>854952.15999999992</v>
      </c>
      <c r="C106" s="198">
        <v>1.5</v>
      </c>
    </row>
    <row r="107" spans="1:3">
      <c r="A107" s="146" t="s">
        <v>67</v>
      </c>
      <c r="B107" s="198">
        <v>781974.97</v>
      </c>
      <c r="C107" s="198">
        <v>2</v>
      </c>
    </row>
    <row r="108" spans="1:3">
      <c r="A108" s="146" t="s">
        <v>367</v>
      </c>
      <c r="B108" s="198">
        <v>779355.4</v>
      </c>
      <c r="C108" s="198">
        <v>3</v>
      </c>
    </row>
    <row r="109" spans="1:3">
      <c r="A109" s="146" t="s">
        <v>280</v>
      </c>
      <c r="B109" s="198">
        <v>767394.45</v>
      </c>
      <c r="C109" s="198">
        <v>2</v>
      </c>
    </row>
    <row r="110" spans="1:3">
      <c r="A110" s="146" t="s">
        <v>59</v>
      </c>
      <c r="B110" s="198">
        <v>759800</v>
      </c>
      <c r="C110" s="198">
        <v>2</v>
      </c>
    </row>
    <row r="111" spans="1:3">
      <c r="A111" s="146" t="s">
        <v>78</v>
      </c>
      <c r="B111" s="198">
        <v>747353.5</v>
      </c>
      <c r="C111" s="198">
        <v>1.5</v>
      </c>
    </row>
    <row r="112" spans="1:3">
      <c r="A112" s="146" t="s">
        <v>17</v>
      </c>
      <c r="B112" s="198">
        <v>729271</v>
      </c>
      <c r="C112" s="198">
        <v>2.5</v>
      </c>
    </row>
    <row r="113" spans="1:3">
      <c r="A113" s="146" t="s">
        <v>275</v>
      </c>
      <c r="B113" s="198">
        <v>691399.45</v>
      </c>
      <c r="C113" s="198">
        <v>1.5</v>
      </c>
    </row>
    <row r="114" spans="1:3">
      <c r="A114" s="146" t="s">
        <v>461</v>
      </c>
      <c r="B114" s="198">
        <v>669698</v>
      </c>
      <c r="C114" s="198">
        <v>2</v>
      </c>
    </row>
    <row r="115" spans="1:3">
      <c r="A115" s="146" t="s">
        <v>224</v>
      </c>
      <c r="B115" s="198">
        <v>652794.36</v>
      </c>
      <c r="C115" s="198">
        <v>2.5</v>
      </c>
    </row>
    <row r="116" spans="1:3">
      <c r="A116" s="146" t="s">
        <v>237</v>
      </c>
      <c r="B116" s="198">
        <v>622082.44999999995</v>
      </c>
      <c r="C116" s="198">
        <v>2</v>
      </c>
    </row>
    <row r="117" spans="1:3">
      <c r="A117" s="146" t="s">
        <v>485</v>
      </c>
      <c r="B117" s="198">
        <v>621036.80000000005</v>
      </c>
      <c r="C117" s="198">
        <v>1</v>
      </c>
    </row>
    <row r="118" spans="1:3">
      <c r="A118" s="146" t="s">
        <v>267</v>
      </c>
      <c r="B118" s="198">
        <v>612637.09</v>
      </c>
      <c r="C118" s="198">
        <v>2</v>
      </c>
    </row>
    <row r="119" spans="1:3">
      <c r="A119" s="146" t="s">
        <v>36</v>
      </c>
      <c r="B119" s="198">
        <v>606000</v>
      </c>
      <c r="C119" s="198">
        <v>1</v>
      </c>
    </row>
    <row r="120" spans="1:3">
      <c r="A120" s="146" t="s">
        <v>332</v>
      </c>
      <c r="B120" s="198">
        <v>582250</v>
      </c>
      <c r="C120" s="198">
        <v>2</v>
      </c>
    </row>
    <row r="121" spans="1:3">
      <c r="A121" s="146" t="s">
        <v>504</v>
      </c>
      <c r="B121" s="198">
        <v>566264.76</v>
      </c>
      <c r="C121" s="198">
        <v>2</v>
      </c>
    </row>
    <row r="122" spans="1:3">
      <c r="A122" s="146" t="s">
        <v>66</v>
      </c>
      <c r="B122" s="198">
        <v>550987.13</v>
      </c>
      <c r="C122" s="198">
        <v>2</v>
      </c>
    </row>
    <row r="123" spans="1:3">
      <c r="A123" s="146" t="s">
        <v>47</v>
      </c>
      <c r="B123" s="198">
        <v>549826.31999999995</v>
      </c>
      <c r="C123" s="198">
        <v>2</v>
      </c>
    </row>
    <row r="124" spans="1:3">
      <c r="A124" s="146" t="s">
        <v>374</v>
      </c>
      <c r="B124" s="198">
        <v>523533.88</v>
      </c>
      <c r="C124" s="198">
        <v>1</v>
      </c>
    </row>
    <row r="125" spans="1:3">
      <c r="A125" s="146" t="s">
        <v>104</v>
      </c>
      <c r="B125" s="198">
        <v>522118.14</v>
      </c>
      <c r="C125" s="198">
        <v>1.5</v>
      </c>
    </row>
    <row r="126" spans="1:3">
      <c r="A126" s="146" t="s">
        <v>281</v>
      </c>
      <c r="B126" s="198">
        <v>520892.08999999997</v>
      </c>
      <c r="C126" s="198">
        <v>2</v>
      </c>
    </row>
    <row r="127" spans="1:3">
      <c r="A127" s="146" t="s">
        <v>373</v>
      </c>
      <c r="B127" s="198">
        <v>518000</v>
      </c>
      <c r="C127" s="198">
        <v>1</v>
      </c>
    </row>
    <row r="128" spans="1:3">
      <c r="A128" s="146" t="s">
        <v>487</v>
      </c>
      <c r="B128" s="198">
        <v>495000</v>
      </c>
      <c r="C128" s="198">
        <v>1</v>
      </c>
    </row>
    <row r="129" spans="1:3">
      <c r="A129" s="146" t="s">
        <v>513</v>
      </c>
      <c r="B129" s="198">
        <v>491174.95</v>
      </c>
      <c r="C129" s="198">
        <v>1</v>
      </c>
    </row>
    <row r="130" spans="1:3">
      <c r="A130" s="146" t="s">
        <v>140</v>
      </c>
      <c r="B130" s="198">
        <v>491048.995</v>
      </c>
      <c r="C130" s="198">
        <v>1.5</v>
      </c>
    </row>
    <row r="131" spans="1:3">
      <c r="A131" s="146" t="s">
        <v>483</v>
      </c>
      <c r="B131" s="198">
        <v>487273.06</v>
      </c>
      <c r="C131" s="198">
        <v>1</v>
      </c>
    </row>
    <row r="132" spans="1:3">
      <c r="A132" s="146" t="s">
        <v>41</v>
      </c>
      <c r="B132" s="198">
        <v>485210.27999999997</v>
      </c>
      <c r="C132" s="198">
        <v>2</v>
      </c>
    </row>
    <row r="133" spans="1:3">
      <c r="A133" s="146" t="s">
        <v>63</v>
      </c>
      <c r="B133" s="198">
        <v>468305.5</v>
      </c>
      <c r="C133" s="198">
        <v>1</v>
      </c>
    </row>
    <row r="134" spans="1:3">
      <c r="A134" s="146" t="s">
        <v>370</v>
      </c>
      <c r="B134" s="198">
        <v>452500</v>
      </c>
      <c r="C134" s="198">
        <v>1</v>
      </c>
    </row>
    <row r="135" spans="1:3">
      <c r="A135" s="146" t="s">
        <v>474</v>
      </c>
      <c r="B135" s="198">
        <v>445575.5</v>
      </c>
      <c r="C135" s="198">
        <v>1.5</v>
      </c>
    </row>
    <row r="136" spans="1:3">
      <c r="A136" s="146" t="s">
        <v>493</v>
      </c>
      <c r="B136" s="198">
        <v>441679.16</v>
      </c>
      <c r="C136" s="198">
        <v>1.5</v>
      </c>
    </row>
    <row r="137" spans="1:3">
      <c r="A137" s="146" t="s">
        <v>263</v>
      </c>
      <c r="B137" s="198">
        <v>432000</v>
      </c>
      <c r="C137" s="198">
        <v>1</v>
      </c>
    </row>
    <row r="138" spans="1:3">
      <c r="A138" s="146" t="s">
        <v>154</v>
      </c>
      <c r="B138" s="198">
        <v>417781</v>
      </c>
      <c r="C138" s="198">
        <v>1</v>
      </c>
    </row>
    <row r="139" spans="1:3">
      <c r="A139" s="146" t="s">
        <v>507</v>
      </c>
      <c r="B139" s="198">
        <v>396923.84</v>
      </c>
      <c r="C139" s="198">
        <v>1</v>
      </c>
    </row>
    <row r="140" spans="1:3">
      <c r="A140" s="146" t="s">
        <v>65</v>
      </c>
      <c r="B140" s="198">
        <v>395330</v>
      </c>
      <c r="C140" s="198">
        <v>1</v>
      </c>
    </row>
    <row r="141" spans="1:3">
      <c r="A141" s="146" t="s">
        <v>516</v>
      </c>
      <c r="B141" s="198">
        <v>387956</v>
      </c>
      <c r="C141" s="198">
        <v>1</v>
      </c>
    </row>
    <row r="142" spans="1:3">
      <c r="A142" s="146" t="s">
        <v>285</v>
      </c>
      <c r="B142" s="198">
        <v>381850</v>
      </c>
      <c r="C142" s="198">
        <v>1</v>
      </c>
    </row>
    <row r="143" spans="1:3">
      <c r="A143" s="146" t="s">
        <v>495</v>
      </c>
      <c r="B143" s="198">
        <v>378460.5</v>
      </c>
      <c r="C143" s="198">
        <v>1</v>
      </c>
    </row>
    <row r="144" spans="1:3">
      <c r="A144" s="146" t="s">
        <v>163</v>
      </c>
      <c r="B144" s="198">
        <v>377222</v>
      </c>
      <c r="C144" s="198">
        <v>1</v>
      </c>
    </row>
    <row r="145" spans="1:3">
      <c r="A145" s="146" t="s">
        <v>335</v>
      </c>
      <c r="B145" s="198">
        <v>367120</v>
      </c>
      <c r="C145" s="198">
        <v>1</v>
      </c>
    </row>
    <row r="146" spans="1:3">
      <c r="A146" s="146" t="s">
        <v>514</v>
      </c>
      <c r="B146" s="198">
        <v>366980</v>
      </c>
      <c r="C146" s="198">
        <v>1</v>
      </c>
    </row>
    <row r="147" spans="1:3">
      <c r="A147" s="146" t="s">
        <v>512</v>
      </c>
      <c r="B147" s="198">
        <v>360240</v>
      </c>
      <c r="C147" s="198">
        <v>1</v>
      </c>
    </row>
    <row r="148" spans="1:3">
      <c r="A148" s="146" t="s">
        <v>268</v>
      </c>
      <c r="B148" s="198">
        <v>356546.08999999997</v>
      </c>
      <c r="C148" s="198">
        <v>1</v>
      </c>
    </row>
    <row r="149" spans="1:3">
      <c r="A149" s="146" t="s">
        <v>147</v>
      </c>
      <c r="B149" s="198">
        <v>326239.5</v>
      </c>
      <c r="C149" s="198">
        <v>0.5</v>
      </c>
    </row>
    <row r="150" spans="1:3">
      <c r="A150" s="146" t="s">
        <v>484</v>
      </c>
      <c r="B150" s="198">
        <v>315418.52</v>
      </c>
      <c r="C150" s="198">
        <v>0.5</v>
      </c>
    </row>
    <row r="151" spans="1:3">
      <c r="A151" s="146" t="s">
        <v>44</v>
      </c>
      <c r="B151" s="198">
        <v>310290.93</v>
      </c>
      <c r="C151" s="198">
        <v>1</v>
      </c>
    </row>
    <row r="152" spans="1:3">
      <c r="A152" s="146" t="s">
        <v>508</v>
      </c>
      <c r="B152" s="198">
        <v>309463.99</v>
      </c>
      <c r="C152" s="198">
        <v>0.5</v>
      </c>
    </row>
    <row r="153" spans="1:3">
      <c r="A153" s="146" t="s">
        <v>129</v>
      </c>
      <c r="B153" s="198">
        <v>288980.55</v>
      </c>
      <c r="C153" s="198">
        <v>1</v>
      </c>
    </row>
    <row r="154" spans="1:3">
      <c r="A154" s="146" t="s">
        <v>506</v>
      </c>
      <c r="B154" s="198">
        <v>288980.55</v>
      </c>
      <c r="C154" s="198">
        <v>1</v>
      </c>
    </row>
    <row r="155" spans="1:3">
      <c r="A155" s="146" t="s">
        <v>379</v>
      </c>
      <c r="B155" s="198">
        <v>272309.21999999997</v>
      </c>
      <c r="C155" s="198">
        <v>1</v>
      </c>
    </row>
    <row r="156" spans="1:3">
      <c r="A156" s="146" t="s">
        <v>48</v>
      </c>
      <c r="B156" s="198">
        <v>267643.14</v>
      </c>
      <c r="C156" s="198">
        <v>1</v>
      </c>
    </row>
    <row r="157" spans="1:3">
      <c r="A157" s="146" t="s">
        <v>148</v>
      </c>
      <c r="B157" s="198">
        <v>264000</v>
      </c>
      <c r="C157" s="198">
        <v>1</v>
      </c>
    </row>
    <row r="158" spans="1:3">
      <c r="A158" s="146" t="s">
        <v>492</v>
      </c>
      <c r="B158" s="198">
        <v>259050</v>
      </c>
      <c r="C158" s="198">
        <v>1</v>
      </c>
    </row>
    <row r="159" spans="1:3">
      <c r="A159" s="146" t="s">
        <v>498</v>
      </c>
      <c r="B159" s="198">
        <v>257600</v>
      </c>
      <c r="C159" s="198">
        <v>1</v>
      </c>
    </row>
    <row r="160" spans="1:3">
      <c r="A160" s="146" t="s">
        <v>162</v>
      </c>
      <c r="B160" s="198">
        <v>256091</v>
      </c>
      <c r="C160" s="198">
        <v>1</v>
      </c>
    </row>
    <row r="161" spans="1:3">
      <c r="A161" s="146" t="s">
        <v>496</v>
      </c>
      <c r="B161" s="198">
        <v>242900</v>
      </c>
      <c r="C161" s="198">
        <v>1</v>
      </c>
    </row>
    <row r="162" spans="1:3">
      <c r="A162" s="146" t="s">
        <v>49</v>
      </c>
      <c r="B162" s="198">
        <v>236000</v>
      </c>
      <c r="C162" s="198">
        <v>1</v>
      </c>
    </row>
    <row r="163" spans="1:3">
      <c r="A163" s="146" t="s">
        <v>501</v>
      </c>
      <c r="B163" s="198">
        <v>231930</v>
      </c>
      <c r="C163" s="198">
        <v>1</v>
      </c>
    </row>
    <row r="164" spans="1:3">
      <c r="A164" s="146" t="s">
        <v>502</v>
      </c>
      <c r="B164" s="198">
        <v>231930</v>
      </c>
      <c r="C164" s="198">
        <v>1</v>
      </c>
    </row>
    <row r="165" spans="1:3">
      <c r="A165" s="146" t="s">
        <v>206</v>
      </c>
      <c r="B165" s="198">
        <v>219650</v>
      </c>
      <c r="C165" s="198">
        <v>0.5</v>
      </c>
    </row>
    <row r="166" spans="1:3">
      <c r="A166" s="146" t="s">
        <v>330</v>
      </c>
      <c r="B166" s="198">
        <v>189100</v>
      </c>
      <c r="C166" s="198">
        <v>0.5</v>
      </c>
    </row>
    <row r="167" spans="1:3">
      <c r="A167" s="146" t="s">
        <v>499</v>
      </c>
      <c r="B167" s="198">
        <v>185975.77</v>
      </c>
      <c r="C167" s="198">
        <v>0.5</v>
      </c>
    </row>
    <row r="168" spans="1:3">
      <c r="A168" s="146" t="s">
        <v>194</v>
      </c>
      <c r="B168" s="198">
        <v>134070.625</v>
      </c>
      <c r="C168" s="198">
        <v>0.5</v>
      </c>
    </row>
    <row r="169" spans="1:3">
      <c r="A169" s="146" t="s">
        <v>515</v>
      </c>
      <c r="B169" s="198">
        <v>131550.41</v>
      </c>
      <c r="C169" s="198">
        <v>0.5</v>
      </c>
    </row>
    <row r="170" spans="1:3">
      <c r="A170" s="146" t="s">
        <v>37</v>
      </c>
      <c r="B170" s="198">
        <v>128727.32</v>
      </c>
      <c r="C170" s="198">
        <v>0.5</v>
      </c>
    </row>
    <row r="171" spans="1:3">
      <c r="A171" s="146" t="s">
        <v>369</v>
      </c>
      <c r="B171" s="198">
        <v>127612</v>
      </c>
      <c r="C171" s="198">
        <v>0.5</v>
      </c>
    </row>
    <row r="172" spans="1:3">
      <c r="A172" s="146" t="s">
        <v>384</v>
      </c>
      <c r="B172" s="198">
        <v>127612</v>
      </c>
      <c r="C172" s="198">
        <v>0.5</v>
      </c>
    </row>
    <row r="173" spans="1:3">
      <c r="A173" s="182" t="s">
        <v>327</v>
      </c>
      <c r="B173" s="198">
        <v>9188066.3100000005</v>
      </c>
      <c r="C173" s="198">
        <v>17</v>
      </c>
    </row>
    <row r="174" spans="1:3">
      <c r="A174" s="144" t="s">
        <v>327</v>
      </c>
      <c r="B174" s="198">
        <v>9188066.3100000005</v>
      </c>
      <c r="C174" s="198">
        <v>17</v>
      </c>
    </row>
    <row r="175" spans="1:3">
      <c r="A175" s="146" t="s">
        <v>360</v>
      </c>
      <c r="B175" s="198">
        <v>6467102.2199999997</v>
      </c>
      <c r="C175" s="198">
        <v>12</v>
      </c>
    </row>
    <row r="176" spans="1:3">
      <c r="A176" s="146" t="s">
        <v>361</v>
      </c>
      <c r="B176" s="198">
        <v>1709072.9500000002</v>
      </c>
      <c r="C176" s="198">
        <v>4</v>
      </c>
    </row>
    <row r="177" spans="1:3">
      <c r="A177" s="146" t="s">
        <v>368</v>
      </c>
      <c r="B177" s="198">
        <v>1011891.14</v>
      </c>
      <c r="C177" s="198">
        <v>1</v>
      </c>
    </row>
    <row r="178" spans="1:3">
      <c r="A178" s="182" t="s">
        <v>329</v>
      </c>
      <c r="B178" s="198">
        <v>32622843.770000003</v>
      </c>
      <c r="C178" s="198">
        <v>71</v>
      </c>
    </row>
    <row r="179" spans="1:3">
      <c r="A179" s="144" t="s">
        <v>339</v>
      </c>
      <c r="B179" s="198">
        <v>19558445.130000003</v>
      </c>
      <c r="C179" s="198">
        <v>36</v>
      </c>
    </row>
    <row r="180" spans="1:3">
      <c r="A180" s="146" t="s">
        <v>465</v>
      </c>
      <c r="B180" s="198">
        <v>10206834.620000001</v>
      </c>
      <c r="C180" s="198">
        <v>20.5</v>
      </c>
    </row>
    <row r="181" spans="1:3">
      <c r="A181" s="146" t="s">
        <v>464</v>
      </c>
      <c r="B181" s="198">
        <v>3340827.39</v>
      </c>
      <c r="C181" s="198">
        <v>8</v>
      </c>
    </row>
    <row r="182" spans="1:3">
      <c r="A182" s="146" t="s">
        <v>337</v>
      </c>
      <c r="B182" s="198">
        <v>3262983.02</v>
      </c>
      <c r="C182" s="198">
        <v>5.5</v>
      </c>
    </row>
    <row r="183" spans="1:3">
      <c r="A183" s="146" t="s">
        <v>463</v>
      </c>
      <c r="B183" s="198">
        <v>2747800.1</v>
      </c>
      <c r="C183" s="198">
        <v>2</v>
      </c>
    </row>
    <row r="184" spans="1:3">
      <c r="A184" s="144" t="s">
        <v>340</v>
      </c>
      <c r="B184" s="198">
        <v>13064398.640000001</v>
      </c>
      <c r="C184" s="198">
        <v>35</v>
      </c>
    </row>
    <row r="185" spans="1:3">
      <c r="A185" s="146" t="s">
        <v>465</v>
      </c>
      <c r="B185" s="198">
        <v>6219541.8100000005</v>
      </c>
      <c r="C185" s="198">
        <v>15</v>
      </c>
    </row>
    <row r="186" spans="1:3">
      <c r="A186" s="146" t="s">
        <v>337</v>
      </c>
      <c r="B186" s="198">
        <v>3288635.5700000003</v>
      </c>
      <c r="C186" s="198">
        <v>9</v>
      </c>
    </row>
    <row r="187" spans="1:3">
      <c r="A187" s="146" t="s">
        <v>463</v>
      </c>
      <c r="B187" s="198">
        <v>2505266.33</v>
      </c>
      <c r="C187" s="198">
        <v>7</v>
      </c>
    </row>
    <row r="188" spans="1:3">
      <c r="A188" s="146" t="s">
        <v>464</v>
      </c>
      <c r="B188" s="198">
        <v>1050954.93</v>
      </c>
      <c r="C188" s="198">
        <v>4</v>
      </c>
    </row>
    <row r="189" spans="1:3">
      <c r="A189" s="182" t="s">
        <v>548</v>
      </c>
      <c r="B189" s="198">
        <v>187644076.25999999</v>
      </c>
      <c r="C189" s="198">
        <v>466.5</v>
      </c>
    </row>
  </sheetData>
  <conditionalFormatting pivot="1" sqref="B8:B61">
    <cfRule type="dataBar" priority="5">
      <dataBar>
        <cfvo type="min"/>
        <cfvo type="max"/>
        <color rgb="FF638EC6"/>
      </dataBar>
    </cfRule>
  </conditionalFormatting>
  <conditionalFormatting pivot="1" sqref="B63:B172">
    <cfRule type="dataBar" priority="4">
      <dataBar>
        <cfvo type="min"/>
        <cfvo type="max"/>
        <color rgb="FF63C384"/>
      </dataBar>
    </cfRule>
  </conditionalFormatting>
  <conditionalFormatting pivot="1" sqref="B185:B188">
    <cfRule type="dataBar" priority="3">
      <dataBar>
        <cfvo type="min"/>
        <cfvo type="max"/>
        <color rgb="FF63C384"/>
      </dataBar>
    </cfRule>
  </conditionalFormatting>
  <conditionalFormatting pivot="1" sqref="B180:B183">
    <cfRule type="dataBar" priority="2">
      <dataBar>
        <cfvo type="min"/>
        <cfvo type="max"/>
        <color rgb="FF638EC6"/>
      </dataBar>
    </cfRule>
  </conditionalFormatting>
  <conditionalFormatting pivot="1" sqref="B175:B177">
    <cfRule type="dataBar" priority="1">
      <dataBar>
        <cfvo type="min"/>
        <cfvo type="max"/>
        <color rgb="FFFFB628"/>
      </dataBar>
    </cfRule>
  </conditionalFormatting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42"/>
  <sheetViews>
    <sheetView tabSelected="1" zoomScaleNormal="100" workbookViewId="0">
      <pane ySplit="1" topLeftCell="A1131" activePane="bottomLeft" state="frozen"/>
      <selection pane="bottomLeft" activeCell="D1152" sqref="D1152"/>
    </sheetView>
  </sheetViews>
  <sheetFormatPr defaultColWidth="9.109375" defaultRowHeight="14.4"/>
  <cols>
    <col min="1" max="1" width="32.6640625" style="154" bestFit="1" customWidth="1"/>
    <col min="2" max="2" width="30.5546875" style="154" bestFit="1" customWidth="1"/>
    <col min="3" max="3" width="16.109375" style="154" customWidth="1"/>
    <col min="4" max="4" width="17.109375" style="154" customWidth="1"/>
    <col min="5" max="5" width="16.33203125" style="154" customWidth="1"/>
    <col min="6" max="6" width="14.88671875" style="154" customWidth="1"/>
    <col min="7" max="7" width="19.6640625" style="154" customWidth="1"/>
    <col min="8" max="8" width="14.5546875" style="154" customWidth="1"/>
    <col min="9" max="9" width="15.33203125" style="154" customWidth="1"/>
    <col min="10" max="11" width="10.44140625" style="154" customWidth="1"/>
    <col min="12" max="13" width="9.109375" style="154" customWidth="1"/>
    <col min="14" max="16384" width="9.109375" style="154"/>
  </cols>
  <sheetData>
    <row r="1" spans="1:12">
      <c r="A1" s="153" t="s">
        <v>11</v>
      </c>
      <c r="B1" s="150" t="s">
        <v>10</v>
      </c>
      <c r="C1" s="153" t="s">
        <v>0</v>
      </c>
      <c r="D1" s="153" t="s">
        <v>326</v>
      </c>
      <c r="E1" s="153" t="s">
        <v>338</v>
      </c>
      <c r="F1" s="153" t="s">
        <v>1</v>
      </c>
      <c r="G1" s="153" t="s">
        <v>2</v>
      </c>
      <c r="H1" s="153" t="s">
        <v>6</v>
      </c>
      <c r="I1" s="153" t="s">
        <v>3</v>
      </c>
      <c r="J1" s="153" t="s">
        <v>13</v>
      </c>
      <c r="K1" s="153" t="s">
        <v>324</v>
      </c>
      <c r="L1" s="153" t="s">
        <v>325</v>
      </c>
    </row>
    <row r="2" spans="1:12" ht="15" hidden="1" customHeight="1">
      <c r="A2" s="149" t="s">
        <v>191</v>
      </c>
      <c r="B2" s="150" t="s">
        <v>435</v>
      </c>
      <c r="C2" s="155">
        <v>22</v>
      </c>
      <c r="D2" s="155" t="s">
        <v>328</v>
      </c>
      <c r="E2" s="155" t="s">
        <v>339</v>
      </c>
      <c r="F2" s="156">
        <v>41280</v>
      </c>
      <c r="G2" s="156" t="s">
        <v>19</v>
      </c>
      <c r="H2" s="156" t="s">
        <v>27</v>
      </c>
      <c r="I2" s="157">
        <v>222000</v>
      </c>
      <c r="J2" s="158">
        <v>1</v>
      </c>
      <c r="K2" s="159">
        <f>MONTH(Tabela1[[#This Row],[Data da Venda]])</f>
        <v>1</v>
      </c>
      <c r="L2" s="159">
        <f>YEAR(Tabela1[[#This Row],[Data da Venda]])</f>
        <v>2013</v>
      </c>
    </row>
    <row r="3" spans="1:12" ht="15" hidden="1" customHeight="1">
      <c r="A3" s="149" t="s">
        <v>208</v>
      </c>
      <c r="B3" s="150" t="s">
        <v>399</v>
      </c>
      <c r="C3" s="155">
        <v>128</v>
      </c>
      <c r="D3" s="155" t="s">
        <v>328</v>
      </c>
      <c r="E3" s="155" t="s">
        <v>339</v>
      </c>
      <c r="F3" s="156">
        <v>41281</v>
      </c>
      <c r="G3" s="156" t="s">
        <v>20</v>
      </c>
      <c r="H3" s="156" t="s">
        <v>26</v>
      </c>
      <c r="I3" s="157">
        <v>252200</v>
      </c>
      <c r="J3" s="158">
        <v>1</v>
      </c>
      <c r="K3" s="159">
        <f>MONTH(Tabela1[[#This Row],[Data da Venda]])</f>
        <v>1</v>
      </c>
      <c r="L3" s="159">
        <f>YEAR(Tabela1[[#This Row],[Data da Venda]])</f>
        <v>2013</v>
      </c>
    </row>
    <row r="4" spans="1:12" ht="15" hidden="1" customHeight="1">
      <c r="A4" s="149" t="s">
        <v>182</v>
      </c>
      <c r="B4" s="150" t="s">
        <v>411</v>
      </c>
      <c r="C4" s="155">
        <v>1</v>
      </c>
      <c r="D4" s="155" t="s">
        <v>328</v>
      </c>
      <c r="E4" s="155" t="s">
        <v>339</v>
      </c>
      <c r="F4" s="156">
        <v>41281</v>
      </c>
      <c r="G4" s="156" t="s">
        <v>18</v>
      </c>
      <c r="H4" s="156" t="s">
        <v>25</v>
      </c>
      <c r="I4" s="157">
        <v>201875</v>
      </c>
      <c r="J4" s="158">
        <v>1</v>
      </c>
      <c r="K4" s="159">
        <f>MONTH(Tabela1[[#This Row],[Data da Venda]])</f>
        <v>1</v>
      </c>
      <c r="L4" s="159">
        <f>YEAR(Tabela1[[#This Row],[Data da Venda]])</f>
        <v>2013</v>
      </c>
    </row>
    <row r="5" spans="1:12" ht="15" hidden="1" customHeight="1">
      <c r="A5" s="149" t="s">
        <v>53</v>
      </c>
      <c r="B5" s="150" t="s">
        <v>414</v>
      </c>
      <c r="C5" s="155">
        <v>177</v>
      </c>
      <c r="D5" s="155" t="s">
        <v>328</v>
      </c>
      <c r="E5" s="155" t="s">
        <v>339</v>
      </c>
      <c r="F5" s="156">
        <v>41281</v>
      </c>
      <c r="G5" s="156" t="s">
        <v>21</v>
      </c>
      <c r="H5" s="156" t="s">
        <v>23</v>
      </c>
      <c r="I5" s="157">
        <v>453000.06</v>
      </c>
      <c r="J5" s="158">
        <v>0.5</v>
      </c>
      <c r="K5" s="159">
        <f>MONTH(Tabela1[[#This Row],[Data da Venda]])</f>
        <v>1</v>
      </c>
      <c r="L5" s="159">
        <f>YEAR(Tabela1[[#This Row],[Data da Venda]])</f>
        <v>2013</v>
      </c>
    </row>
    <row r="6" spans="1:12" ht="15" hidden="1" customHeight="1">
      <c r="A6" s="149" t="s">
        <v>53</v>
      </c>
      <c r="B6" s="150" t="s">
        <v>414</v>
      </c>
      <c r="C6" s="155">
        <v>177</v>
      </c>
      <c r="D6" s="155" t="s">
        <v>328</v>
      </c>
      <c r="E6" s="155" t="s">
        <v>339</v>
      </c>
      <c r="F6" s="156">
        <v>41281</v>
      </c>
      <c r="G6" s="156" t="s">
        <v>22</v>
      </c>
      <c r="H6" s="156" t="s">
        <v>23</v>
      </c>
      <c r="I6" s="157">
        <v>453000.06</v>
      </c>
      <c r="J6" s="158">
        <v>0.5</v>
      </c>
      <c r="K6" s="159">
        <f>MONTH(Tabela1[[#This Row],[Data da Venda]])</f>
        <v>1</v>
      </c>
      <c r="L6" s="159">
        <f>YEAR(Tabela1[[#This Row],[Data da Venda]])</f>
        <v>2013</v>
      </c>
    </row>
    <row r="7" spans="1:12" ht="15" hidden="1" customHeight="1">
      <c r="A7" s="149" t="s">
        <v>233</v>
      </c>
      <c r="B7" s="150" t="s">
        <v>428</v>
      </c>
      <c r="C7" s="155">
        <v>173</v>
      </c>
      <c r="D7" s="155" t="s">
        <v>328</v>
      </c>
      <c r="E7" s="155" t="s">
        <v>339</v>
      </c>
      <c r="F7" s="156">
        <v>41283</v>
      </c>
      <c r="G7" s="156" t="s">
        <v>308</v>
      </c>
      <c r="H7" s="156" t="s">
        <v>26</v>
      </c>
      <c r="I7" s="157">
        <v>374300</v>
      </c>
      <c r="J7" s="158">
        <v>1</v>
      </c>
      <c r="K7" s="159">
        <f>MONTH(Tabela1[[#This Row],[Data da Venda]])</f>
        <v>1</v>
      </c>
      <c r="L7" s="159">
        <f>YEAR(Tabela1[[#This Row],[Data da Venda]])</f>
        <v>2013</v>
      </c>
    </row>
    <row r="8" spans="1:12" ht="15" hidden="1" customHeight="1">
      <c r="A8" s="149" t="s">
        <v>432</v>
      </c>
      <c r="B8" s="150" t="s">
        <v>386</v>
      </c>
      <c r="C8" s="155">
        <v>2</v>
      </c>
      <c r="D8" s="155" t="s">
        <v>328</v>
      </c>
      <c r="E8" s="155" t="s">
        <v>339</v>
      </c>
      <c r="F8" s="156">
        <v>41284</v>
      </c>
      <c r="G8" s="156" t="s">
        <v>17</v>
      </c>
      <c r="H8" s="156" t="s">
        <v>25</v>
      </c>
      <c r="I8" s="157">
        <v>217814.01</v>
      </c>
      <c r="J8" s="158">
        <v>1</v>
      </c>
      <c r="K8" s="159">
        <f>MONTH(Tabela1[[#This Row],[Data da Venda]])</f>
        <v>1</v>
      </c>
      <c r="L8" s="159">
        <f>YEAR(Tabela1[[#This Row],[Data da Venda]])</f>
        <v>2013</v>
      </c>
    </row>
    <row r="9" spans="1:12" ht="15" hidden="1" customHeight="1">
      <c r="A9" s="149" t="s">
        <v>208</v>
      </c>
      <c r="B9" s="150" t="s">
        <v>399</v>
      </c>
      <c r="C9" s="155">
        <v>185</v>
      </c>
      <c r="D9" s="155" t="s">
        <v>328</v>
      </c>
      <c r="E9" s="155" t="s">
        <v>339</v>
      </c>
      <c r="F9" s="156">
        <v>41287</v>
      </c>
      <c r="G9" s="156" t="s">
        <v>16</v>
      </c>
      <c r="H9" s="156" t="s">
        <v>24</v>
      </c>
      <c r="I9" s="157">
        <v>261000</v>
      </c>
      <c r="J9" s="158">
        <v>1</v>
      </c>
      <c r="K9" s="159">
        <f>MONTH(Tabela1[[#This Row],[Data da Venda]])</f>
        <v>1</v>
      </c>
      <c r="L9" s="159">
        <f>YEAR(Tabela1[[#This Row],[Data da Venda]])</f>
        <v>2013</v>
      </c>
    </row>
    <row r="10" spans="1:12" ht="15" hidden="1" customHeight="1">
      <c r="A10" s="149" t="s">
        <v>182</v>
      </c>
      <c r="B10" s="150" t="s">
        <v>389</v>
      </c>
      <c r="C10" s="155">
        <v>42</v>
      </c>
      <c r="D10" s="155" t="s">
        <v>328</v>
      </c>
      <c r="E10" s="155" t="s">
        <v>339</v>
      </c>
      <c r="F10" s="156">
        <v>41290</v>
      </c>
      <c r="G10" s="156" t="s">
        <v>17</v>
      </c>
      <c r="H10" s="156" t="s">
        <v>25</v>
      </c>
      <c r="I10" s="157">
        <v>175313</v>
      </c>
      <c r="J10" s="158">
        <v>1</v>
      </c>
      <c r="K10" s="159">
        <f>MONTH(Tabela1[[#This Row],[Data da Venda]])</f>
        <v>1</v>
      </c>
      <c r="L10" s="159">
        <f>YEAR(Tabela1[[#This Row],[Data da Venda]])</f>
        <v>2013</v>
      </c>
    </row>
    <row r="11" spans="1:12" ht="15" hidden="1" customHeight="1">
      <c r="A11" s="149" t="s">
        <v>191</v>
      </c>
      <c r="B11" s="150" t="s">
        <v>385</v>
      </c>
      <c r="C11" s="155">
        <v>174</v>
      </c>
      <c r="D11" s="155" t="s">
        <v>328</v>
      </c>
      <c r="E11" s="155" t="s">
        <v>339</v>
      </c>
      <c r="F11" s="156">
        <v>41293</v>
      </c>
      <c r="G11" s="156" t="s">
        <v>19</v>
      </c>
      <c r="H11" s="156" t="s">
        <v>27</v>
      </c>
      <c r="I11" s="157">
        <v>202000</v>
      </c>
      <c r="J11" s="158">
        <v>1</v>
      </c>
      <c r="K11" s="159">
        <f>MONTH(Tabela1[[#This Row],[Data da Venda]])</f>
        <v>1</v>
      </c>
      <c r="L11" s="159">
        <f>YEAR(Tabela1[[#This Row],[Data da Venda]])</f>
        <v>2013</v>
      </c>
    </row>
    <row r="12" spans="1:12" ht="15" hidden="1" customHeight="1">
      <c r="A12" s="149" t="s">
        <v>230</v>
      </c>
      <c r="B12" s="150" t="s">
        <v>402</v>
      </c>
      <c r="C12" s="155">
        <v>45</v>
      </c>
      <c r="D12" s="155" t="s">
        <v>329</v>
      </c>
      <c r="E12" s="155" t="s">
        <v>339</v>
      </c>
      <c r="F12" s="156">
        <v>41295</v>
      </c>
      <c r="G12" s="156" t="s">
        <v>465</v>
      </c>
      <c r="H12" s="156" t="s">
        <v>33</v>
      </c>
      <c r="I12" s="157">
        <v>235000</v>
      </c>
      <c r="J12" s="158">
        <v>1</v>
      </c>
      <c r="K12" s="159">
        <f>MONTH(Tabela1[[#This Row],[Data da Venda]])</f>
        <v>1</v>
      </c>
      <c r="L12" s="159">
        <f>YEAR(Tabela1[[#This Row],[Data da Venda]])</f>
        <v>2013</v>
      </c>
    </row>
    <row r="13" spans="1:12" ht="15" hidden="1" customHeight="1">
      <c r="A13" s="149" t="s">
        <v>230</v>
      </c>
      <c r="B13" s="150" t="s">
        <v>410</v>
      </c>
      <c r="C13" s="155">
        <v>106</v>
      </c>
      <c r="D13" s="155" t="s">
        <v>328</v>
      </c>
      <c r="E13" s="155" t="s">
        <v>339</v>
      </c>
      <c r="F13" s="156">
        <v>41295</v>
      </c>
      <c r="G13" s="156" t="s">
        <v>31</v>
      </c>
      <c r="H13" s="156" t="s">
        <v>25</v>
      </c>
      <c r="I13" s="157">
        <v>193000.01</v>
      </c>
      <c r="J13" s="158">
        <v>1</v>
      </c>
      <c r="K13" s="159">
        <f>MONTH(Tabela1[[#This Row],[Data da Venda]])</f>
        <v>1</v>
      </c>
      <c r="L13" s="159">
        <f>YEAR(Tabela1[[#This Row],[Data da Venda]])</f>
        <v>2013</v>
      </c>
    </row>
    <row r="14" spans="1:12" ht="15" hidden="1" customHeight="1">
      <c r="A14" s="149" t="s">
        <v>191</v>
      </c>
      <c r="B14" s="150" t="s">
        <v>385</v>
      </c>
      <c r="C14" s="155">
        <v>143</v>
      </c>
      <c r="D14" s="155" t="s">
        <v>329</v>
      </c>
      <c r="E14" s="155" t="s">
        <v>339</v>
      </c>
      <c r="F14" s="156">
        <v>41296</v>
      </c>
      <c r="G14" s="156" t="s">
        <v>337</v>
      </c>
      <c r="H14" s="156" t="s">
        <v>33</v>
      </c>
      <c r="I14" s="157">
        <v>210888.7</v>
      </c>
      <c r="J14" s="158">
        <v>1</v>
      </c>
      <c r="K14" s="159">
        <f>MONTH(Tabela1[[#This Row],[Data da Venda]])</f>
        <v>1</v>
      </c>
      <c r="L14" s="159">
        <f>YEAR(Tabela1[[#This Row],[Data da Venda]])</f>
        <v>2013</v>
      </c>
    </row>
    <row r="15" spans="1:12" ht="15" hidden="1" customHeight="1">
      <c r="A15" s="149" t="s">
        <v>432</v>
      </c>
      <c r="B15" s="150" t="s">
        <v>412</v>
      </c>
      <c r="C15" s="155">
        <v>6</v>
      </c>
      <c r="D15" s="155" t="s">
        <v>328</v>
      </c>
      <c r="E15" s="155" t="s">
        <v>339</v>
      </c>
      <c r="F15" s="156">
        <v>41297</v>
      </c>
      <c r="G15" s="156" t="s">
        <v>18</v>
      </c>
      <c r="H15" s="156" t="s">
        <v>25</v>
      </c>
      <c r="I15" s="157">
        <v>180625</v>
      </c>
      <c r="J15" s="158">
        <v>1</v>
      </c>
      <c r="K15" s="159">
        <f>MONTH(Tabela1[[#This Row],[Data da Venda]])</f>
        <v>1</v>
      </c>
      <c r="L15" s="159">
        <f>YEAR(Tabela1[[#This Row],[Data da Venda]])</f>
        <v>2013</v>
      </c>
    </row>
    <row r="16" spans="1:12" ht="15" hidden="1" customHeight="1">
      <c r="A16" s="149" t="s">
        <v>208</v>
      </c>
      <c r="B16" s="150" t="s">
        <v>399</v>
      </c>
      <c r="C16" s="155">
        <v>113</v>
      </c>
      <c r="D16" s="155" t="s">
        <v>328</v>
      </c>
      <c r="E16" s="155" t="s">
        <v>339</v>
      </c>
      <c r="F16" s="156">
        <v>41298</v>
      </c>
      <c r="G16" s="156" t="s">
        <v>16</v>
      </c>
      <c r="H16" s="156" t="s">
        <v>24</v>
      </c>
      <c r="I16" s="157">
        <v>241123</v>
      </c>
      <c r="J16" s="158">
        <v>1</v>
      </c>
      <c r="K16" s="159">
        <f>MONTH(Tabela1[[#This Row],[Data da Venda]])</f>
        <v>1</v>
      </c>
      <c r="L16" s="159">
        <f>YEAR(Tabela1[[#This Row],[Data da Venda]])</f>
        <v>2013</v>
      </c>
    </row>
    <row r="17" spans="1:12" ht="15" hidden="1" customHeight="1">
      <c r="A17" s="149" t="s">
        <v>230</v>
      </c>
      <c r="B17" s="150" t="s">
        <v>402</v>
      </c>
      <c r="C17" s="155">
        <v>27</v>
      </c>
      <c r="D17" s="155" t="s">
        <v>329</v>
      </c>
      <c r="E17" s="155" t="s">
        <v>339</v>
      </c>
      <c r="F17" s="156">
        <v>41298</v>
      </c>
      <c r="G17" s="156" t="s">
        <v>463</v>
      </c>
      <c r="H17" s="156" t="s">
        <v>33</v>
      </c>
      <c r="I17" s="157">
        <v>182000</v>
      </c>
      <c r="J17" s="158">
        <v>1</v>
      </c>
      <c r="K17" s="159">
        <f>MONTH(Tabela1[[#This Row],[Data da Venda]])</f>
        <v>1</v>
      </c>
      <c r="L17" s="159">
        <f>YEAR(Tabela1[[#This Row],[Data da Venda]])</f>
        <v>2013</v>
      </c>
    </row>
    <row r="18" spans="1:12" ht="15" hidden="1" customHeight="1">
      <c r="A18" s="149" t="s">
        <v>422</v>
      </c>
      <c r="B18" s="150" t="s">
        <v>407</v>
      </c>
      <c r="C18" s="155">
        <v>111</v>
      </c>
      <c r="D18" s="155" t="s">
        <v>329</v>
      </c>
      <c r="E18" s="155" t="s">
        <v>339</v>
      </c>
      <c r="F18" s="156">
        <v>41298</v>
      </c>
      <c r="G18" s="156" t="s">
        <v>337</v>
      </c>
      <c r="H18" s="156" t="s">
        <v>33</v>
      </c>
      <c r="I18" s="157">
        <v>790000</v>
      </c>
      <c r="J18" s="158">
        <v>1</v>
      </c>
      <c r="K18" s="159">
        <f>MONTH(Tabela1[[#This Row],[Data da Venda]])</f>
        <v>1</v>
      </c>
      <c r="L18" s="159">
        <f>YEAR(Tabela1[[#This Row],[Data da Venda]])</f>
        <v>2013</v>
      </c>
    </row>
    <row r="19" spans="1:12" ht="15" hidden="1" customHeight="1">
      <c r="A19" s="149" t="s">
        <v>422</v>
      </c>
      <c r="B19" s="150" t="s">
        <v>407</v>
      </c>
      <c r="C19" s="155">
        <v>134</v>
      </c>
      <c r="D19" s="155" t="s">
        <v>329</v>
      </c>
      <c r="E19" s="155" t="s">
        <v>339</v>
      </c>
      <c r="F19" s="156">
        <v>41298</v>
      </c>
      <c r="G19" s="156" t="s">
        <v>337</v>
      </c>
      <c r="H19" s="156" t="s">
        <v>33</v>
      </c>
      <c r="I19" s="157">
        <v>870430.13</v>
      </c>
      <c r="J19" s="158">
        <v>1</v>
      </c>
      <c r="K19" s="159">
        <f>MONTH(Tabela1[[#This Row],[Data da Venda]])</f>
        <v>1</v>
      </c>
      <c r="L19" s="159">
        <f>YEAR(Tabela1[[#This Row],[Data da Venda]])</f>
        <v>2013</v>
      </c>
    </row>
    <row r="20" spans="1:12" ht="15" hidden="1" customHeight="1">
      <c r="A20" s="149" t="s">
        <v>422</v>
      </c>
      <c r="B20" s="150" t="s">
        <v>407</v>
      </c>
      <c r="C20" s="155">
        <v>171</v>
      </c>
      <c r="D20" s="155" t="s">
        <v>328</v>
      </c>
      <c r="E20" s="155" t="s">
        <v>339</v>
      </c>
      <c r="F20" s="156">
        <v>41298</v>
      </c>
      <c r="G20" s="156" t="s">
        <v>34</v>
      </c>
      <c r="H20" s="156" t="s">
        <v>24</v>
      </c>
      <c r="I20" s="157">
        <v>830000.22</v>
      </c>
      <c r="J20" s="158">
        <v>1</v>
      </c>
      <c r="K20" s="159">
        <f>MONTH(Tabela1[[#This Row],[Data da Venda]])</f>
        <v>1</v>
      </c>
      <c r="L20" s="159">
        <f>YEAR(Tabela1[[#This Row],[Data da Venda]])</f>
        <v>2013</v>
      </c>
    </row>
    <row r="21" spans="1:12" ht="15" hidden="1" customHeight="1">
      <c r="A21" s="149" t="s">
        <v>422</v>
      </c>
      <c r="B21" s="150" t="s">
        <v>407</v>
      </c>
      <c r="C21" s="155">
        <v>184</v>
      </c>
      <c r="D21" s="155" t="s">
        <v>328</v>
      </c>
      <c r="E21" s="155" t="s">
        <v>339</v>
      </c>
      <c r="F21" s="156">
        <v>41298</v>
      </c>
      <c r="G21" s="156" t="s">
        <v>287</v>
      </c>
      <c r="H21" s="157" t="s">
        <v>25</v>
      </c>
      <c r="I21" s="157">
        <v>788790.99</v>
      </c>
      <c r="J21" s="160">
        <v>1</v>
      </c>
      <c r="K21" s="159">
        <f>MONTH(Tabela1[[#This Row],[Data da Venda]])</f>
        <v>1</v>
      </c>
      <c r="L21" s="159">
        <f>YEAR(Tabela1[[#This Row],[Data da Venda]])</f>
        <v>2013</v>
      </c>
    </row>
    <row r="22" spans="1:12" ht="15" hidden="1" customHeight="1">
      <c r="A22" s="149" t="s">
        <v>208</v>
      </c>
      <c r="B22" s="150" t="s">
        <v>388</v>
      </c>
      <c r="C22" s="155">
        <v>46</v>
      </c>
      <c r="D22" s="155" t="s">
        <v>328</v>
      </c>
      <c r="E22" s="155" t="s">
        <v>339</v>
      </c>
      <c r="F22" s="156">
        <v>41301</v>
      </c>
      <c r="G22" s="156" t="s">
        <v>39</v>
      </c>
      <c r="H22" s="156" t="s">
        <v>27</v>
      </c>
      <c r="I22" s="157">
        <v>312776.49</v>
      </c>
      <c r="J22" s="158">
        <v>1</v>
      </c>
      <c r="K22" s="159">
        <f>MONTH(Tabela1[[#This Row],[Data da Venda]])</f>
        <v>1</v>
      </c>
      <c r="L22" s="159">
        <f>YEAR(Tabela1[[#This Row],[Data da Venda]])</f>
        <v>2013</v>
      </c>
    </row>
    <row r="23" spans="1:12" ht="15" hidden="1" customHeight="1">
      <c r="A23" s="149" t="s">
        <v>53</v>
      </c>
      <c r="B23" s="150" t="s">
        <v>414</v>
      </c>
      <c r="C23" s="155">
        <v>51</v>
      </c>
      <c r="D23" s="155" t="s">
        <v>329</v>
      </c>
      <c r="E23" s="155" t="s">
        <v>339</v>
      </c>
      <c r="F23" s="156">
        <v>41302</v>
      </c>
      <c r="G23" s="156" t="s">
        <v>463</v>
      </c>
      <c r="H23" s="156" t="s">
        <v>33</v>
      </c>
      <c r="I23" s="157">
        <v>477650.03</v>
      </c>
      <c r="J23" s="158">
        <v>1</v>
      </c>
      <c r="K23" s="159">
        <f>MONTH(Tabela1[[#This Row],[Data da Venda]])</f>
        <v>1</v>
      </c>
      <c r="L23" s="159">
        <f>YEAR(Tabela1[[#This Row],[Data da Venda]])</f>
        <v>2013</v>
      </c>
    </row>
    <row r="24" spans="1:12" ht="15" hidden="1" customHeight="1">
      <c r="A24" s="149" t="s">
        <v>53</v>
      </c>
      <c r="B24" s="150" t="s">
        <v>414</v>
      </c>
      <c r="C24" s="155">
        <v>72</v>
      </c>
      <c r="D24" s="155" t="s">
        <v>328</v>
      </c>
      <c r="E24" s="155" t="s">
        <v>339</v>
      </c>
      <c r="F24" s="156">
        <v>41303</v>
      </c>
      <c r="G24" s="156" t="s">
        <v>296</v>
      </c>
      <c r="H24" s="156" t="s">
        <v>23</v>
      </c>
      <c r="I24" s="157">
        <v>612000</v>
      </c>
      <c r="J24" s="158">
        <v>1</v>
      </c>
      <c r="K24" s="159">
        <f>MONTH(Tabela1[[#This Row],[Data da Venda]])</f>
        <v>1</v>
      </c>
      <c r="L24" s="159">
        <f>YEAR(Tabela1[[#This Row],[Data da Venda]])</f>
        <v>2013</v>
      </c>
    </row>
    <row r="25" spans="1:12" ht="15" hidden="1" customHeight="1">
      <c r="A25" s="162" t="s">
        <v>447</v>
      </c>
      <c r="B25" s="164" t="s">
        <v>397</v>
      </c>
      <c r="C25" s="164">
        <v>223</v>
      </c>
      <c r="D25" s="155" t="s">
        <v>327</v>
      </c>
      <c r="E25" s="155" t="s">
        <v>327</v>
      </c>
      <c r="F25" s="165">
        <v>41303</v>
      </c>
      <c r="G25" s="156" t="s">
        <v>360</v>
      </c>
      <c r="H25" s="156" t="s">
        <v>362</v>
      </c>
      <c r="I25" s="166">
        <v>824561.24</v>
      </c>
      <c r="J25" s="168">
        <v>1</v>
      </c>
      <c r="K25" s="159">
        <f>MONTH(Tabela1[[#This Row],[Data da Venda]])</f>
        <v>1</v>
      </c>
      <c r="L25" s="159">
        <f>YEAR(Tabela1[[#This Row],[Data da Venda]])</f>
        <v>2013</v>
      </c>
    </row>
    <row r="26" spans="1:12" ht="15" hidden="1" customHeight="1">
      <c r="A26" s="149" t="s">
        <v>233</v>
      </c>
      <c r="B26" s="150" t="s">
        <v>428</v>
      </c>
      <c r="C26" s="155">
        <v>176</v>
      </c>
      <c r="D26" s="155" t="s">
        <v>329</v>
      </c>
      <c r="E26" s="155" t="s">
        <v>339</v>
      </c>
      <c r="F26" s="156">
        <v>41304</v>
      </c>
      <c r="G26" s="156" t="s">
        <v>463</v>
      </c>
      <c r="H26" s="156" t="s">
        <v>33</v>
      </c>
      <c r="I26" s="157">
        <v>360000</v>
      </c>
      <c r="J26" s="158">
        <v>1</v>
      </c>
      <c r="K26" s="159">
        <f>MONTH(Tabela1[[#This Row],[Data da Venda]])</f>
        <v>1</v>
      </c>
      <c r="L26" s="159">
        <f>YEAR(Tabela1[[#This Row],[Data da Venda]])</f>
        <v>2013</v>
      </c>
    </row>
    <row r="27" spans="1:12" ht="15" hidden="1" customHeight="1">
      <c r="A27" s="149" t="s">
        <v>208</v>
      </c>
      <c r="B27" s="150" t="s">
        <v>399</v>
      </c>
      <c r="C27" s="155">
        <v>175</v>
      </c>
      <c r="D27" s="155" t="s">
        <v>328</v>
      </c>
      <c r="E27" s="155" t="s">
        <v>339</v>
      </c>
      <c r="F27" s="156">
        <v>41305</v>
      </c>
      <c r="G27" s="156" t="s">
        <v>37</v>
      </c>
      <c r="H27" s="156" t="s">
        <v>32</v>
      </c>
      <c r="I27" s="157">
        <v>258320</v>
      </c>
      <c r="J27" s="158">
        <v>1</v>
      </c>
      <c r="K27" s="159">
        <f>MONTH(Tabela1[[#This Row],[Data da Venda]])</f>
        <v>1</v>
      </c>
      <c r="L27" s="159">
        <f>YEAR(Tabela1[[#This Row],[Data da Venda]])</f>
        <v>2013</v>
      </c>
    </row>
    <row r="28" spans="1:12" ht="15" hidden="1" customHeight="1">
      <c r="A28" s="149" t="s">
        <v>53</v>
      </c>
      <c r="B28" s="150" t="s">
        <v>414</v>
      </c>
      <c r="C28" s="155">
        <v>43</v>
      </c>
      <c r="D28" s="155" t="s">
        <v>328</v>
      </c>
      <c r="E28" s="155" t="s">
        <v>339</v>
      </c>
      <c r="F28" s="156">
        <v>41305</v>
      </c>
      <c r="G28" s="156" t="s">
        <v>36</v>
      </c>
      <c r="H28" s="156" t="s">
        <v>24</v>
      </c>
      <c r="I28" s="157">
        <v>641050</v>
      </c>
      <c r="J28" s="158">
        <v>1</v>
      </c>
      <c r="K28" s="159">
        <f>MONTH(Tabela1[[#This Row],[Data da Venda]])</f>
        <v>1</v>
      </c>
      <c r="L28" s="159">
        <f>YEAR(Tabela1[[#This Row],[Data da Venda]])</f>
        <v>2013</v>
      </c>
    </row>
    <row r="29" spans="1:12" ht="15" hidden="1" customHeight="1">
      <c r="A29" s="149" t="s">
        <v>208</v>
      </c>
      <c r="B29" s="150" t="s">
        <v>399</v>
      </c>
      <c r="C29" s="155">
        <v>133</v>
      </c>
      <c r="D29" s="155" t="s">
        <v>328</v>
      </c>
      <c r="E29" s="155" t="s">
        <v>339</v>
      </c>
      <c r="F29" s="156">
        <v>41306</v>
      </c>
      <c r="G29" s="156" t="s">
        <v>37</v>
      </c>
      <c r="H29" s="156" t="s">
        <v>32</v>
      </c>
      <c r="I29" s="157">
        <v>242000</v>
      </c>
      <c r="J29" s="158">
        <v>1</v>
      </c>
      <c r="K29" s="159">
        <f>MONTH(Tabela1[[#This Row],[Data da Venda]])</f>
        <v>2</v>
      </c>
      <c r="L29" s="159">
        <f>YEAR(Tabela1[[#This Row],[Data da Venda]])</f>
        <v>2013</v>
      </c>
    </row>
    <row r="30" spans="1:12" ht="15" hidden="1" customHeight="1">
      <c r="A30" s="149" t="s">
        <v>53</v>
      </c>
      <c r="B30" s="150" t="s">
        <v>414</v>
      </c>
      <c r="C30" s="155">
        <v>48</v>
      </c>
      <c r="D30" s="155" t="s">
        <v>328</v>
      </c>
      <c r="E30" s="155" t="s">
        <v>339</v>
      </c>
      <c r="F30" s="156">
        <v>41307</v>
      </c>
      <c r="G30" s="156" t="s">
        <v>38</v>
      </c>
      <c r="H30" s="156" t="s">
        <v>23</v>
      </c>
      <c r="I30" s="157">
        <v>464234</v>
      </c>
      <c r="J30" s="158">
        <v>1</v>
      </c>
      <c r="K30" s="159">
        <f>MONTH(Tabela1[[#This Row],[Data da Venda]])</f>
        <v>2</v>
      </c>
      <c r="L30" s="159">
        <f>YEAR(Tabela1[[#This Row],[Data da Venda]])</f>
        <v>2013</v>
      </c>
    </row>
    <row r="31" spans="1:12" ht="15" hidden="1" customHeight="1">
      <c r="A31" s="149" t="s">
        <v>53</v>
      </c>
      <c r="B31" s="150" t="s">
        <v>436</v>
      </c>
      <c r="C31" s="155" t="s">
        <v>437</v>
      </c>
      <c r="D31" s="155" t="s">
        <v>328</v>
      </c>
      <c r="E31" s="155" t="s">
        <v>339</v>
      </c>
      <c r="F31" s="156">
        <v>41308</v>
      </c>
      <c r="G31" s="156" t="s">
        <v>38</v>
      </c>
      <c r="H31" s="156" t="s">
        <v>23</v>
      </c>
      <c r="I31" s="157">
        <v>30000</v>
      </c>
      <c r="J31" s="158">
        <v>1</v>
      </c>
      <c r="K31" s="159">
        <f>MONTH(Tabela1[[#This Row],[Data da Venda]])</f>
        <v>2</v>
      </c>
      <c r="L31" s="159">
        <f>YEAR(Tabela1[[#This Row],[Data da Venda]])</f>
        <v>2013</v>
      </c>
    </row>
    <row r="32" spans="1:12" ht="15" hidden="1" customHeight="1">
      <c r="A32" s="149" t="s">
        <v>191</v>
      </c>
      <c r="B32" s="150" t="s">
        <v>385</v>
      </c>
      <c r="C32" s="155">
        <v>105</v>
      </c>
      <c r="D32" s="155" t="s">
        <v>328</v>
      </c>
      <c r="E32" s="155" t="s">
        <v>339</v>
      </c>
      <c r="F32" s="156">
        <v>41309</v>
      </c>
      <c r="G32" s="156" t="s">
        <v>19</v>
      </c>
      <c r="H32" s="156" t="s">
        <v>27</v>
      </c>
      <c r="I32" s="157">
        <v>246000</v>
      </c>
      <c r="J32" s="158">
        <v>1</v>
      </c>
      <c r="K32" s="159">
        <f>MONTH(Tabela1[[#This Row],[Data da Venda]])</f>
        <v>2</v>
      </c>
      <c r="L32" s="159">
        <f>YEAR(Tabela1[[#This Row],[Data da Venda]])</f>
        <v>2013</v>
      </c>
    </row>
    <row r="33" spans="1:12" ht="15" hidden="1" customHeight="1">
      <c r="A33" s="149" t="s">
        <v>422</v>
      </c>
      <c r="B33" s="150" t="s">
        <v>405</v>
      </c>
      <c r="C33" s="155">
        <v>134</v>
      </c>
      <c r="D33" s="155" t="s">
        <v>328</v>
      </c>
      <c r="E33" s="155" t="s">
        <v>339</v>
      </c>
      <c r="F33" s="156">
        <v>41312</v>
      </c>
      <c r="G33" s="156" t="s">
        <v>40</v>
      </c>
      <c r="H33" s="156" t="s">
        <v>32</v>
      </c>
      <c r="I33" s="157">
        <v>670000</v>
      </c>
      <c r="J33" s="158">
        <v>1</v>
      </c>
      <c r="K33" s="159">
        <f>MONTH(Tabela1[[#This Row],[Data da Venda]])</f>
        <v>2</v>
      </c>
      <c r="L33" s="159">
        <f>YEAR(Tabela1[[#This Row],[Data da Venda]])</f>
        <v>2013</v>
      </c>
    </row>
    <row r="34" spans="1:12" ht="15" hidden="1" customHeight="1">
      <c r="A34" s="149" t="s">
        <v>53</v>
      </c>
      <c r="B34" s="150" t="s">
        <v>414</v>
      </c>
      <c r="C34" s="155">
        <v>23</v>
      </c>
      <c r="D34" s="155" t="s">
        <v>328</v>
      </c>
      <c r="E34" s="155" t="s">
        <v>339</v>
      </c>
      <c r="F34" s="156">
        <v>41313</v>
      </c>
      <c r="G34" s="156" t="s">
        <v>44</v>
      </c>
      <c r="H34" s="156" t="s">
        <v>32</v>
      </c>
      <c r="I34" s="157">
        <v>636000</v>
      </c>
      <c r="J34" s="158">
        <v>1</v>
      </c>
      <c r="K34" s="159">
        <f>MONTH(Tabela1[[#This Row],[Data da Venda]])</f>
        <v>2</v>
      </c>
      <c r="L34" s="159">
        <f>YEAR(Tabela1[[#This Row],[Data da Venda]])</f>
        <v>2013</v>
      </c>
    </row>
    <row r="35" spans="1:12" ht="15" hidden="1" customHeight="1">
      <c r="A35" s="149" t="s">
        <v>53</v>
      </c>
      <c r="B35" s="150" t="s">
        <v>414</v>
      </c>
      <c r="C35" s="155">
        <v>73</v>
      </c>
      <c r="D35" s="155" t="s">
        <v>328</v>
      </c>
      <c r="E35" s="155" t="s">
        <v>339</v>
      </c>
      <c r="F35" s="156">
        <v>41313</v>
      </c>
      <c r="G35" s="156" t="s">
        <v>43</v>
      </c>
      <c r="H35" s="156" t="s">
        <v>32</v>
      </c>
      <c r="I35" s="157">
        <v>606000</v>
      </c>
      <c r="J35" s="158">
        <v>1</v>
      </c>
      <c r="K35" s="159">
        <f>MONTH(Tabela1[[#This Row],[Data da Venda]])</f>
        <v>2</v>
      </c>
      <c r="L35" s="159">
        <f>YEAR(Tabela1[[#This Row],[Data da Venda]])</f>
        <v>2013</v>
      </c>
    </row>
    <row r="36" spans="1:12" ht="15" hidden="1" customHeight="1">
      <c r="A36" s="149" t="s">
        <v>53</v>
      </c>
      <c r="B36" s="150" t="s">
        <v>436</v>
      </c>
      <c r="C36" s="155" t="s">
        <v>438</v>
      </c>
      <c r="D36" s="155" t="s">
        <v>328</v>
      </c>
      <c r="E36" s="155" t="s">
        <v>339</v>
      </c>
      <c r="F36" s="156">
        <v>41313</v>
      </c>
      <c r="G36" s="156" t="s">
        <v>45</v>
      </c>
      <c r="H36" s="156" t="s">
        <v>32</v>
      </c>
      <c r="I36" s="157">
        <v>30700</v>
      </c>
      <c r="J36" s="158">
        <v>1</v>
      </c>
      <c r="K36" s="159">
        <f>MONTH(Tabela1[[#This Row],[Data da Venda]])</f>
        <v>2</v>
      </c>
      <c r="L36" s="159">
        <f>YEAR(Tabela1[[#This Row],[Data da Venda]])</f>
        <v>2013</v>
      </c>
    </row>
    <row r="37" spans="1:12" ht="15" hidden="1" customHeight="1">
      <c r="A37" s="149" t="s">
        <v>191</v>
      </c>
      <c r="B37" s="150" t="s">
        <v>401</v>
      </c>
      <c r="C37" s="155">
        <v>46</v>
      </c>
      <c r="D37" s="155" t="s">
        <v>328</v>
      </c>
      <c r="E37" s="155" t="s">
        <v>339</v>
      </c>
      <c r="F37" s="156">
        <v>41315</v>
      </c>
      <c r="G37" s="156" t="s">
        <v>41</v>
      </c>
      <c r="H37" s="156" t="s">
        <v>27</v>
      </c>
      <c r="I37" s="157">
        <v>124000</v>
      </c>
      <c r="J37" s="158">
        <v>0.5</v>
      </c>
      <c r="K37" s="159">
        <f>MONTH(Tabela1[[#This Row],[Data da Venda]])</f>
        <v>2</v>
      </c>
      <c r="L37" s="159">
        <f>YEAR(Tabela1[[#This Row],[Data da Venda]])</f>
        <v>2013</v>
      </c>
    </row>
    <row r="38" spans="1:12" ht="15" hidden="1" customHeight="1">
      <c r="A38" s="149" t="s">
        <v>191</v>
      </c>
      <c r="B38" s="150" t="s">
        <v>401</v>
      </c>
      <c r="C38" s="155">
        <v>46</v>
      </c>
      <c r="D38" s="155" t="s">
        <v>328</v>
      </c>
      <c r="E38" s="155" t="s">
        <v>339</v>
      </c>
      <c r="F38" s="156">
        <v>41315</v>
      </c>
      <c r="G38" s="156" t="s">
        <v>42</v>
      </c>
      <c r="H38" s="156" t="s">
        <v>27</v>
      </c>
      <c r="I38" s="157">
        <v>124000</v>
      </c>
      <c r="J38" s="158">
        <v>0.5</v>
      </c>
      <c r="K38" s="159">
        <f>MONTH(Tabela1[[#This Row],[Data da Venda]])</f>
        <v>2</v>
      </c>
      <c r="L38" s="159">
        <f>YEAR(Tabela1[[#This Row],[Data da Venda]])</f>
        <v>2013</v>
      </c>
    </row>
    <row r="39" spans="1:12" ht="15" hidden="1" customHeight="1">
      <c r="A39" s="149" t="s">
        <v>208</v>
      </c>
      <c r="B39" s="150" t="s">
        <v>399</v>
      </c>
      <c r="C39" s="155">
        <v>158</v>
      </c>
      <c r="D39" s="155" t="s">
        <v>328</v>
      </c>
      <c r="E39" s="155" t="s">
        <v>339</v>
      </c>
      <c r="F39" s="156">
        <v>41319</v>
      </c>
      <c r="G39" s="156" t="s">
        <v>16</v>
      </c>
      <c r="H39" s="156" t="s">
        <v>24</v>
      </c>
      <c r="I39" s="157">
        <v>220000</v>
      </c>
      <c r="J39" s="158">
        <v>1</v>
      </c>
      <c r="K39" s="159">
        <f>MONTH(Tabela1[[#This Row],[Data da Venda]])</f>
        <v>2</v>
      </c>
      <c r="L39" s="159">
        <f>YEAR(Tabela1[[#This Row],[Data da Venda]])</f>
        <v>2013</v>
      </c>
    </row>
    <row r="40" spans="1:12" ht="15" hidden="1" customHeight="1">
      <c r="A40" s="149" t="s">
        <v>53</v>
      </c>
      <c r="B40" s="150" t="s">
        <v>414</v>
      </c>
      <c r="C40" s="155">
        <v>32</v>
      </c>
      <c r="D40" s="155" t="s">
        <v>328</v>
      </c>
      <c r="E40" s="155" t="s">
        <v>339</v>
      </c>
      <c r="F40" s="156">
        <v>41323</v>
      </c>
      <c r="G40" s="156" t="s">
        <v>46</v>
      </c>
      <c r="H40" s="156" t="s">
        <v>25</v>
      </c>
      <c r="I40" s="157">
        <v>595091.1</v>
      </c>
      <c r="J40" s="158">
        <v>1</v>
      </c>
      <c r="K40" s="159">
        <f>MONTH(Tabela1[[#This Row],[Data da Venda]])</f>
        <v>2</v>
      </c>
      <c r="L40" s="159">
        <f>YEAR(Tabela1[[#This Row],[Data da Venda]])</f>
        <v>2013</v>
      </c>
    </row>
    <row r="41" spans="1:12" ht="15" hidden="1" customHeight="1">
      <c r="A41" s="162" t="s">
        <v>447</v>
      </c>
      <c r="B41" s="164" t="s">
        <v>397</v>
      </c>
      <c r="C41" s="150">
        <v>11</v>
      </c>
      <c r="D41" s="155" t="s">
        <v>327</v>
      </c>
      <c r="E41" s="155" t="s">
        <v>327</v>
      </c>
      <c r="F41" s="156">
        <v>41323</v>
      </c>
      <c r="G41" s="156" t="s">
        <v>360</v>
      </c>
      <c r="H41" s="156" t="s">
        <v>362</v>
      </c>
      <c r="I41" s="163">
        <v>757695.77</v>
      </c>
      <c r="J41" s="161">
        <v>1</v>
      </c>
      <c r="K41" s="159">
        <f>MONTH(Tabela1[[#This Row],[Data da Venda]])</f>
        <v>2</v>
      </c>
      <c r="L41" s="159">
        <f>YEAR(Tabela1[[#This Row],[Data da Venda]])</f>
        <v>2013</v>
      </c>
    </row>
    <row r="42" spans="1:12" ht="15" hidden="1" customHeight="1">
      <c r="A42" s="149" t="s">
        <v>53</v>
      </c>
      <c r="B42" s="150" t="s">
        <v>414</v>
      </c>
      <c r="C42" s="155">
        <v>96</v>
      </c>
      <c r="D42" s="155" t="s">
        <v>328</v>
      </c>
      <c r="E42" s="155" t="s">
        <v>339</v>
      </c>
      <c r="F42" s="156">
        <v>41324</v>
      </c>
      <c r="G42" s="156" t="s">
        <v>47</v>
      </c>
      <c r="H42" s="156" t="s">
        <v>25</v>
      </c>
      <c r="I42" s="157">
        <v>677040</v>
      </c>
      <c r="J42" s="158">
        <v>1</v>
      </c>
      <c r="K42" s="159">
        <f>MONTH(Tabela1[[#This Row],[Data da Venda]])</f>
        <v>2</v>
      </c>
      <c r="L42" s="159">
        <f>YEAR(Tabela1[[#This Row],[Data da Venda]])</f>
        <v>2013</v>
      </c>
    </row>
    <row r="43" spans="1:12" ht="15" hidden="1" customHeight="1">
      <c r="A43" s="149" t="s">
        <v>233</v>
      </c>
      <c r="B43" s="150" t="s">
        <v>428</v>
      </c>
      <c r="C43" s="155">
        <v>158</v>
      </c>
      <c r="D43" s="155" t="s">
        <v>328</v>
      </c>
      <c r="E43" s="155" t="s">
        <v>339</v>
      </c>
      <c r="F43" s="156">
        <v>41324</v>
      </c>
      <c r="G43" s="156" t="s">
        <v>48</v>
      </c>
      <c r="H43" s="156" t="s">
        <v>25</v>
      </c>
      <c r="I43" s="157">
        <v>364500</v>
      </c>
      <c r="J43" s="158">
        <v>1</v>
      </c>
      <c r="K43" s="159">
        <f>MONTH(Tabela1[[#This Row],[Data da Venda]])</f>
        <v>2</v>
      </c>
      <c r="L43" s="159">
        <f>YEAR(Tabela1[[#This Row],[Data da Venda]])</f>
        <v>2013</v>
      </c>
    </row>
    <row r="44" spans="1:12" ht="15" hidden="1" customHeight="1">
      <c r="A44" s="149" t="s">
        <v>230</v>
      </c>
      <c r="B44" s="150" t="s">
        <v>402</v>
      </c>
      <c r="C44" s="155">
        <v>132</v>
      </c>
      <c r="D44" s="155" t="s">
        <v>328</v>
      </c>
      <c r="E44" s="155" t="s">
        <v>339</v>
      </c>
      <c r="F44" s="156">
        <v>41326</v>
      </c>
      <c r="G44" s="156" t="s">
        <v>31</v>
      </c>
      <c r="H44" s="156" t="s">
        <v>25</v>
      </c>
      <c r="I44" s="157">
        <v>195000</v>
      </c>
      <c r="J44" s="158">
        <v>1</v>
      </c>
      <c r="K44" s="159">
        <f>MONTH(Tabela1[[#This Row],[Data da Venda]])</f>
        <v>2</v>
      </c>
      <c r="L44" s="159">
        <f>YEAR(Tabela1[[#This Row],[Data da Venda]])</f>
        <v>2013</v>
      </c>
    </row>
    <row r="45" spans="1:12" ht="15" hidden="1" customHeight="1">
      <c r="A45" s="149" t="s">
        <v>191</v>
      </c>
      <c r="B45" s="150" t="s">
        <v>401</v>
      </c>
      <c r="C45" s="155">
        <v>108</v>
      </c>
      <c r="D45" s="155" t="s">
        <v>328</v>
      </c>
      <c r="E45" s="155" t="s">
        <v>339</v>
      </c>
      <c r="F45" s="156">
        <v>41329</v>
      </c>
      <c r="G45" s="156" t="s">
        <v>19</v>
      </c>
      <c r="H45" s="156" t="s">
        <v>27</v>
      </c>
      <c r="I45" s="157">
        <v>209000</v>
      </c>
      <c r="J45" s="158">
        <v>1</v>
      </c>
      <c r="K45" s="159">
        <f>MONTH(Tabela1[[#This Row],[Data da Venda]])</f>
        <v>2</v>
      </c>
      <c r="L45" s="159">
        <f>YEAR(Tabela1[[#This Row],[Data da Venda]])</f>
        <v>2013</v>
      </c>
    </row>
    <row r="46" spans="1:12" ht="15" hidden="1" customHeight="1">
      <c r="A46" s="149" t="s">
        <v>53</v>
      </c>
      <c r="B46" s="150" t="s">
        <v>414</v>
      </c>
      <c r="C46" s="155">
        <v>78</v>
      </c>
      <c r="D46" s="155" t="s">
        <v>328</v>
      </c>
      <c r="E46" s="155" t="s">
        <v>339</v>
      </c>
      <c r="F46" s="156">
        <v>41329</v>
      </c>
      <c r="G46" s="156" t="s">
        <v>50</v>
      </c>
      <c r="H46" s="156" t="s">
        <v>24</v>
      </c>
      <c r="I46" s="157">
        <v>502256.48</v>
      </c>
      <c r="J46" s="158">
        <v>1</v>
      </c>
      <c r="K46" s="159">
        <f>MONTH(Tabela1[[#This Row],[Data da Venda]])</f>
        <v>2</v>
      </c>
      <c r="L46" s="159">
        <f>YEAR(Tabela1[[#This Row],[Data da Venda]])</f>
        <v>2013</v>
      </c>
    </row>
    <row r="47" spans="1:12" ht="15" hidden="1" customHeight="1">
      <c r="A47" s="149" t="s">
        <v>53</v>
      </c>
      <c r="B47" s="150" t="s">
        <v>414</v>
      </c>
      <c r="C47" s="155">
        <v>125</v>
      </c>
      <c r="D47" s="155" t="s">
        <v>328</v>
      </c>
      <c r="E47" s="155" t="s">
        <v>339</v>
      </c>
      <c r="F47" s="156">
        <v>41329</v>
      </c>
      <c r="G47" s="156" t="s">
        <v>207</v>
      </c>
      <c r="H47" s="156" t="s">
        <v>32</v>
      </c>
      <c r="I47" s="157">
        <v>390240</v>
      </c>
      <c r="J47" s="158">
        <v>1</v>
      </c>
      <c r="K47" s="159">
        <f>MONTH(Tabela1[[#This Row],[Data da Venda]])</f>
        <v>2</v>
      </c>
      <c r="L47" s="159">
        <f>YEAR(Tabela1[[#This Row],[Data da Venda]])</f>
        <v>2013</v>
      </c>
    </row>
    <row r="48" spans="1:12" ht="15" hidden="1" customHeight="1">
      <c r="A48" s="149" t="s">
        <v>53</v>
      </c>
      <c r="B48" s="150" t="s">
        <v>414</v>
      </c>
      <c r="C48" s="155">
        <v>126</v>
      </c>
      <c r="D48" s="155" t="s">
        <v>328</v>
      </c>
      <c r="E48" s="155" t="s">
        <v>339</v>
      </c>
      <c r="F48" s="156">
        <v>41329</v>
      </c>
      <c r="G48" s="156" t="s">
        <v>207</v>
      </c>
      <c r="H48" s="156" t="s">
        <v>32</v>
      </c>
      <c r="I48" s="157">
        <v>500000</v>
      </c>
      <c r="J48" s="158">
        <v>1</v>
      </c>
      <c r="K48" s="159">
        <f>MONTH(Tabela1[[#This Row],[Data da Venda]])</f>
        <v>2</v>
      </c>
      <c r="L48" s="159">
        <f>YEAR(Tabela1[[#This Row],[Data da Venda]])</f>
        <v>2013</v>
      </c>
    </row>
    <row r="49" spans="1:12" ht="15" hidden="1" customHeight="1">
      <c r="A49" s="149" t="s">
        <v>53</v>
      </c>
      <c r="B49" s="150" t="s">
        <v>414</v>
      </c>
      <c r="C49" s="155">
        <v>132</v>
      </c>
      <c r="D49" s="155" t="s">
        <v>328</v>
      </c>
      <c r="E49" s="155" t="s">
        <v>339</v>
      </c>
      <c r="F49" s="156">
        <v>41329</v>
      </c>
      <c r="G49" s="156" t="s">
        <v>49</v>
      </c>
      <c r="H49" s="156" t="s">
        <v>23</v>
      </c>
      <c r="I49" s="157">
        <v>330816.82</v>
      </c>
      <c r="J49" s="158">
        <v>0.5</v>
      </c>
      <c r="K49" s="159">
        <f>MONTH(Tabela1[[#This Row],[Data da Venda]])</f>
        <v>2</v>
      </c>
      <c r="L49" s="159">
        <f>YEAR(Tabela1[[#This Row],[Data da Venda]])</f>
        <v>2013</v>
      </c>
    </row>
    <row r="50" spans="1:12" ht="15" hidden="1" customHeight="1">
      <c r="A50" s="149" t="s">
        <v>53</v>
      </c>
      <c r="B50" s="150" t="s">
        <v>414</v>
      </c>
      <c r="C50" s="155">
        <v>132</v>
      </c>
      <c r="D50" s="155" t="s">
        <v>328</v>
      </c>
      <c r="E50" s="155" t="s">
        <v>339</v>
      </c>
      <c r="F50" s="156">
        <v>41329</v>
      </c>
      <c r="G50" s="156" t="s">
        <v>38</v>
      </c>
      <c r="H50" s="156" t="s">
        <v>23</v>
      </c>
      <c r="I50" s="157">
        <v>330816.82</v>
      </c>
      <c r="J50" s="158">
        <v>0.5</v>
      </c>
      <c r="K50" s="159">
        <f>MONTH(Tabela1[[#This Row],[Data da Venda]])</f>
        <v>2</v>
      </c>
      <c r="L50" s="159">
        <f>YEAR(Tabela1[[#This Row],[Data da Venda]])</f>
        <v>2013</v>
      </c>
    </row>
    <row r="51" spans="1:12" ht="15" hidden="1" customHeight="1">
      <c r="A51" s="149" t="s">
        <v>208</v>
      </c>
      <c r="B51" s="150" t="s">
        <v>399</v>
      </c>
      <c r="C51" s="155">
        <v>172</v>
      </c>
      <c r="D51" s="155" t="s">
        <v>329</v>
      </c>
      <c r="E51" s="155" t="s">
        <v>339</v>
      </c>
      <c r="F51" s="156">
        <v>41330</v>
      </c>
      <c r="G51" s="156" t="s">
        <v>465</v>
      </c>
      <c r="H51" s="156" t="s">
        <v>33</v>
      </c>
      <c r="I51" s="157">
        <v>274500</v>
      </c>
      <c r="J51" s="158">
        <v>1</v>
      </c>
      <c r="K51" s="159">
        <f>MONTH(Tabela1[[#This Row],[Data da Venda]])</f>
        <v>2</v>
      </c>
      <c r="L51" s="159">
        <f>YEAR(Tabela1[[#This Row],[Data da Venda]])</f>
        <v>2013</v>
      </c>
    </row>
    <row r="52" spans="1:12" ht="15" hidden="1" customHeight="1">
      <c r="A52" s="162" t="s">
        <v>447</v>
      </c>
      <c r="B52" s="150" t="s">
        <v>395</v>
      </c>
      <c r="C52" s="152">
        <v>233</v>
      </c>
      <c r="D52" s="155" t="s">
        <v>327</v>
      </c>
      <c r="E52" s="155" t="s">
        <v>327</v>
      </c>
      <c r="F52" s="156">
        <v>41331</v>
      </c>
      <c r="G52" s="156" t="s">
        <v>360</v>
      </c>
      <c r="H52" s="156" t="s">
        <v>362</v>
      </c>
      <c r="I52" s="163">
        <v>887609.42</v>
      </c>
      <c r="J52" s="161">
        <v>1</v>
      </c>
      <c r="K52" s="159">
        <f>MONTH(Tabela1[[#This Row],[Data da Venda]])</f>
        <v>2</v>
      </c>
      <c r="L52" s="159">
        <f>YEAR(Tabela1[[#This Row],[Data da Venda]])</f>
        <v>2013</v>
      </c>
    </row>
    <row r="53" spans="1:12" ht="15" hidden="1" customHeight="1">
      <c r="A53" s="149" t="s">
        <v>53</v>
      </c>
      <c r="B53" s="150" t="s">
        <v>414</v>
      </c>
      <c r="C53" s="155">
        <v>36</v>
      </c>
      <c r="D53" s="155" t="s">
        <v>328</v>
      </c>
      <c r="E53" s="155" t="s">
        <v>339</v>
      </c>
      <c r="F53" s="156">
        <v>41332</v>
      </c>
      <c r="G53" s="156" t="s">
        <v>235</v>
      </c>
      <c r="H53" s="156" t="s">
        <v>27</v>
      </c>
      <c r="I53" s="157">
        <v>643500</v>
      </c>
      <c r="J53" s="158">
        <v>1</v>
      </c>
      <c r="K53" s="159">
        <f>MONTH(Tabela1[[#This Row],[Data da Venda]])</f>
        <v>2</v>
      </c>
      <c r="L53" s="159">
        <f>YEAR(Tabela1[[#This Row],[Data da Venda]])</f>
        <v>2013</v>
      </c>
    </row>
    <row r="54" spans="1:12" ht="15" hidden="1" customHeight="1">
      <c r="A54" s="149" t="s">
        <v>53</v>
      </c>
      <c r="B54" s="150" t="s">
        <v>414</v>
      </c>
      <c r="C54" s="155">
        <v>176</v>
      </c>
      <c r="D54" s="155" t="s">
        <v>329</v>
      </c>
      <c r="E54" s="155" t="s">
        <v>339</v>
      </c>
      <c r="F54" s="156">
        <v>41332</v>
      </c>
      <c r="G54" s="156" t="s">
        <v>465</v>
      </c>
      <c r="H54" s="156" t="s">
        <v>33</v>
      </c>
      <c r="I54" s="157">
        <v>879628.35</v>
      </c>
      <c r="J54" s="158">
        <v>1</v>
      </c>
      <c r="K54" s="159">
        <f>MONTH(Tabela1[[#This Row],[Data da Venda]])</f>
        <v>2</v>
      </c>
      <c r="L54" s="159">
        <f>YEAR(Tabela1[[#This Row],[Data da Venda]])</f>
        <v>2013</v>
      </c>
    </row>
    <row r="55" spans="1:12" ht="15" hidden="1" customHeight="1">
      <c r="A55" s="149" t="s">
        <v>53</v>
      </c>
      <c r="B55" s="150" t="s">
        <v>414</v>
      </c>
      <c r="C55" s="155">
        <v>35</v>
      </c>
      <c r="D55" s="155" t="s">
        <v>328</v>
      </c>
      <c r="E55" s="155" t="s">
        <v>339</v>
      </c>
      <c r="F55" s="156">
        <v>41333</v>
      </c>
      <c r="G55" s="156" t="s">
        <v>43</v>
      </c>
      <c r="H55" s="156" t="s">
        <v>32</v>
      </c>
      <c r="I55" s="157">
        <v>473200</v>
      </c>
      <c r="J55" s="158">
        <v>1</v>
      </c>
      <c r="K55" s="159">
        <f>MONTH(Tabela1[[#This Row],[Data da Venda]])</f>
        <v>2</v>
      </c>
      <c r="L55" s="159">
        <f>YEAR(Tabela1[[#This Row],[Data da Venda]])</f>
        <v>2013</v>
      </c>
    </row>
    <row r="56" spans="1:12" ht="15" hidden="1" customHeight="1">
      <c r="A56" s="149" t="s">
        <v>53</v>
      </c>
      <c r="B56" s="150" t="s">
        <v>454</v>
      </c>
      <c r="C56" s="155" t="s">
        <v>439</v>
      </c>
      <c r="D56" s="155" t="s">
        <v>328</v>
      </c>
      <c r="E56" s="155" t="s">
        <v>339</v>
      </c>
      <c r="F56" s="156">
        <v>41333</v>
      </c>
      <c r="G56" s="156" t="s">
        <v>43</v>
      </c>
      <c r="H56" s="156" t="s">
        <v>32</v>
      </c>
      <c r="I56" s="157">
        <v>31891</v>
      </c>
      <c r="J56" s="158">
        <v>1</v>
      </c>
      <c r="K56" s="159">
        <f>MONTH(Tabela1[[#This Row],[Data da Venda]])</f>
        <v>2</v>
      </c>
      <c r="L56" s="159">
        <f>YEAR(Tabela1[[#This Row],[Data da Venda]])</f>
        <v>2013</v>
      </c>
    </row>
    <row r="57" spans="1:12" ht="15" hidden="1" customHeight="1">
      <c r="A57" s="149" t="s">
        <v>419</v>
      </c>
      <c r="B57" s="150" t="s">
        <v>454</v>
      </c>
      <c r="C57" s="150">
        <v>1102</v>
      </c>
      <c r="D57" s="155" t="s">
        <v>327</v>
      </c>
      <c r="E57" s="155" t="s">
        <v>327</v>
      </c>
      <c r="F57" s="156">
        <v>41333</v>
      </c>
      <c r="G57" s="156" t="s">
        <v>360</v>
      </c>
      <c r="H57" s="156" t="s">
        <v>362</v>
      </c>
      <c r="I57" s="163">
        <v>620000</v>
      </c>
      <c r="J57" s="161">
        <v>1</v>
      </c>
      <c r="K57" s="159">
        <f>MONTH(Tabela1[[#This Row],[Data da Venda]])</f>
        <v>2</v>
      </c>
      <c r="L57" s="159">
        <f>YEAR(Tabela1[[#This Row],[Data da Venda]])</f>
        <v>2013</v>
      </c>
    </row>
    <row r="58" spans="1:12" ht="15" hidden="1" customHeight="1">
      <c r="A58" s="149" t="s">
        <v>422</v>
      </c>
      <c r="B58" s="150" t="s">
        <v>387</v>
      </c>
      <c r="C58" s="155">
        <v>44</v>
      </c>
      <c r="D58" s="155" t="s">
        <v>329</v>
      </c>
      <c r="E58" s="155" t="s">
        <v>339</v>
      </c>
      <c r="F58" s="156">
        <v>41333</v>
      </c>
      <c r="G58" s="156" t="s">
        <v>465</v>
      </c>
      <c r="H58" s="156" t="s">
        <v>33</v>
      </c>
      <c r="I58" s="157">
        <v>800000</v>
      </c>
      <c r="J58" s="158">
        <v>1</v>
      </c>
      <c r="K58" s="159">
        <f>MONTH(Tabela1[[#This Row],[Data da Venda]])</f>
        <v>2</v>
      </c>
      <c r="L58" s="159">
        <f>YEAR(Tabela1[[#This Row],[Data da Venda]])</f>
        <v>2013</v>
      </c>
    </row>
    <row r="59" spans="1:12" ht="15" hidden="1" customHeight="1">
      <c r="A59" s="149" t="s">
        <v>89</v>
      </c>
      <c r="B59" s="150" t="s">
        <v>426</v>
      </c>
      <c r="C59" s="155">
        <v>101</v>
      </c>
      <c r="D59" s="155" t="s">
        <v>328</v>
      </c>
      <c r="E59" s="155" t="s">
        <v>339</v>
      </c>
      <c r="F59" s="156">
        <v>41333</v>
      </c>
      <c r="G59" s="156" t="s">
        <v>52</v>
      </c>
      <c r="H59" s="156" t="s">
        <v>26</v>
      </c>
      <c r="I59" s="157">
        <v>2190000</v>
      </c>
      <c r="J59" s="158">
        <v>1</v>
      </c>
      <c r="K59" s="159">
        <f>MONTH(Tabela1[[#This Row],[Data da Venda]])</f>
        <v>2</v>
      </c>
      <c r="L59" s="159">
        <f>YEAR(Tabela1[[#This Row],[Data da Venda]])</f>
        <v>2013</v>
      </c>
    </row>
    <row r="60" spans="1:12" ht="15" hidden="1" customHeight="1">
      <c r="A60" s="149" t="s">
        <v>422</v>
      </c>
      <c r="B60" s="150" t="s">
        <v>405</v>
      </c>
      <c r="C60" s="155">
        <v>113</v>
      </c>
      <c r="D60" s="155" t="s">
        <v>328</v>
      </c>
      <c r="E60" s="155" t="s">
        <v>339</v>
      </c>
      <c r="F60" s="156">
        <v>41334</v>
      </c>
      <c r="G60" s="156" t="s">
        <v>40</v>
      </c>
      <c r="H60" s="156" t="s">
        <v>32</v>
      </c>
      <c r="I60" s="157">
        <v>660000</v>
      </c>
      <c r="J60" s="158">
        <v>1</v>
      </c>
      <c r="K60" s="159">
        <f>MONTH(Tabela1[[#This Row],[Data da Venda]])</f>
        <v>3</v>
      </c>
      <c r="L60" s="159">
        <f>YEAR(Tabela1[[#This Row],[Data da Venda]])</f>
        <v>2013</v>
      </c>
    </row>
    <row r="61" spans="1:12" ht="15" hidden="1" customHeight="1">
      <c r="A61" s="149" t="s">
        <v>208</v>
      </c>
      <c r="B61" s="150" t="s">
        <v>399</v>
      </c>
      <c r="C61" s="155">
        <v>148</v>
      </c>
      <c r="D61" s="155" t="s">
        <v>328</v>
      </c>
      <c r="E61" s="155" t="s">
        <v>339</v>
      </c>
      <c r="F61" s="156">
        <v>41335</v>
      </c>
      <c r="G61" s="156" t="s">
        <v>308</v>
      </c>
      <c r="H61" s="156" t="s">
        <v>26</v>
      </c>
      <c r="I61" s="157">
        <v>124290</v>
      </c>
      <c r="J61" s="158">
        <v>0.5</v>
      </c>
      <c r="K61" s="159">
        <f>MONTH(Tabela1[[#This Row],[Data da Venda]])</f>
        <v>3</v>
      </c>
      <c r="L61" s="159">
        <f>YEAR(Tabela1[[#This Row],[Data da Venda]])</f>
        <v>2013</v>
      </c>
    </row>
    <row r="62" spans="1:12" ht="15" hidden="1" customHeight="1">
      <c r="A62" s="149" t="s">
        <v>208</v>
      </c>
      <c r="B62" s="150" t="s">
        <v>399</v>
      </c>
      <c r="C62" s="155">
        <v>148</v>
      </c>
      <c r="D62" s="155" t="s">
        <v>328</v>
      </c>
      <c r="E62" s="155" t="s">
        <v>339</v>
      </c>
      <c r="F62" s="156">
        <v>41335</v>
      </c>
      <c r="G62" s="156" t="s">
        <v>56</v>
      </c>
      <c r="H62" s="156" t="s">
        <v>26</v>
      </c>
      <c r="I62" s="157">
        <v>124290</v>
      </c>
      <c r="J62" s="158">
        <v>0.5</v>
      </c>
      <c r="K62" s="159">
        <f>MONTH(Tabela1[[#This Row],[Data da Venda]])</f>
        <v>3</v>
      </c>
      <c r="L62" s="159">
        <f>YEAR(Tabela1[[#This Row],[Data da Venda]])</f>
        <v>2013</v>
      </c>
    </row>
    <row r="63" spans="1:12" ht="15" hidden="1" customHeight="1">
      <c r="A63" s="149" t="s">
        <v>53</v>
      </c>
      <c r="B63" s="150" t="s">
        <v>414</v>
      </c>
      <c r="C63" s="155">
        <v>103</v>
      </c>
      <c r="D63" s="155" t="s">
        <v>328</v>
      </c>
      <c r="E63" s="155" t="s">
        <v>339</v>
      </c>
      <c r="F63" s="156">
        <v>41336</v>
      </c>
      <c r="G63" s="156" t="s">
        <v>47</v>
      </c>
      <c r="H63" s="156" t="s">
        <v>25</v>
      </c>
      <c r="I63" s="157">
        <v>667999.94999999995</v>
      </c>
      <c r="J63" s="158">
        <v>1</v>
      </c>
      <c r="K63" s="159">
        <f>MONTH(Tabela1[[#This Row],[Data da Venda]])</f>
        <v>3</v>
      </c>
      <c r="L63" s="159">
        <f>YEAR(Tabela1[[#This Row],[Data da Venda]])</f>
        <v>2013</v>
      </c>
    </row>
    <row r="64" spans="1:12" ht="15" hidden="1" customHeight="1">
      <c r="A64" s="149" t="s">
        <v>53</v>
      </c>
      <c r="B64" s="150" t="s">
        <v>436</v>
      </c>
      <c r="C64" s="155" t="s">
        <v>440</v>
      </c>
      <c r="D64" s="155" t="s">
        <v>328</v>
      </c>
      <c r="E64" s="155" t="s">
        <v>339</v>
      </c>
      <c r="F64" s="156">
        <v>41336</v>
      </c>
      <c r="G64" s="156" t="s">
        <v>50</v>
      </c>
      <c r="H64" s="156" t="s">
        <v>24</v>
      </c>
      <c r="I64" s="157">
        <v>31443</v>
      </c>
      <c r="J64" s="158">
        <v>1</v>
      </c>
      <c r="K64" s="159">
        <f>MONTH(Tabela1[[#This Row],[Data da Venda]])</f>
        <v>3</v>
      </c>
      <c r="L64" s="159">
        <f>YEAR(Tabela1[[#This Row],[Data da Venda]])</f>
        <v>2013</v>
      </c>
    </row>
    <row r="65" spans="1:12" ht="15" hidden="1" customHeight="1">
      <c r="A65" s="149" t="s">
        <v>191</v>
      </c>
      <c r="B65" s="150" t="s">
        <v>401</v>
      </c>
      <c r="C65" s="155">
        <v>107</v>
      </c>
      <c r="D65" s="155" t="s">
        <v>328</v>
      </c>
      <c r="E65" s="155" t="s">
        <v>339</v>
      </c>
      <c r="F65" s="156">
        <v>41337</v>
      </c>
      <c r="G65" s="156" t="s">
        <v>17</v>
      </c>
      <c r="H65" s="156" t="s">
        <v>25</v>
      </c>
      <c r="I65" s="157">
        <v>198058</v>
      </c>
      <c r="J65" s="158">
        <v>1</v>
      </c>
      <c r="K65" s="159">
        <f>MONTH(Tabela1[[#This Row],[Data da Venda]])</f>
        <v>3</v>
      </c>
      <c r="L65" s="159">
        <f>YEAR(Tabela1[[#This Row],[Data da Venda]])</f>
        <v>2013</v>
      </c>
    </row>
    <row r="66" spans="1:12" ht="15" hidden="1" customHeight="1">
      <c r="A66" s="149" t="s">
        <v>230</v>
      </c>
      <c r="B66" s="150" t="s">
        <v>410</v>
      </c>
      <c r="C66" s="155">
        <v>104</v>
      </c>
      <c r="D66" s="155" t="s">
        <v>328</v>
      </c>
      <c r="E66" s="155" t="s">
        <v>339</v>
      </c>
      <c r="F66" s="156">
        <v>41340</v>
      </c>
      <c r="G66" s="156" t="s">
        <v>31</v>
      </c>
      <c r="H66" s="156" t="s">
        <v>25</v>
      </c>
      <c r="I66" s="157">
        <v>240960.82</v>
      </c>
      <c r="J66" s="158">
        <v>1</v>
      </c>
      <c r="K66" s="159">
        <f>MONTH(Tabela1[[#This Row],[Data da Venda]])</f>
        <v>3</v>
      </c>
      <c r="L66" s="159">
        <f>YEAR(Tabela1[[#This Row],[Data da Venda]])</f>
        <v>2013</v>
      </c>
    </row>
    <row r="67" spans="1:12" ht="15" hidden="1" customHeight="1">
      <c r="A67" s="151" t="s">
        <v>81</v>
      </c>
      <c r="B67" s="150" t="s">
        <v>446</v>
      </c>
      <c r="C67" s="155">
        <v>43</v>
      </c>
      <c r="D67" s="155" t="s">
        <v>329</v>
      </c>
      <c r="E67" s="155" t="s">
        <v>339</v>
      </c>
      <c r="F67" s="156">
        <v>41340</v>
      </c>
      <c r="G67" s="156" t="s">
        <v>465</v>
      </c>
      <c r="H67" s="156" t="s">
        <v>33</v>
      </c>
      <c r="I67" s="157">
        <v>411000</v>
      </c>
      <c r="J67" s="158">
        <v>1</v>
      </c>
      <c r="K67" s="159">
        <f>MONTH(Tabela1[[#This Row],[Data da Venda]])</f>
        <v>3</v>
      </c>
      <c r="L67" s="159">
        <f>YEAR(Tabela1[[#This Row],[Data da Venda]])</f>
        <v>2013</v>
      </c>
    </row>
    <row r="68" spans="1:12" ht="15" hidden="1" customHeight="1">
      <c r="A68" s="151" t="s">
        <v>186</v>
      </c>
      <c r="B68" s="150" t="s">
        <v>418</v>
      </c>
      <c r="C68" s="155">
        <v>702</v>
      </c>
      <c r="D68" s="155" t="s">
        <v>328</v>
      </c>
      <c r="E68" s="155" t="s">
        <v>339</v>
      </c>
      <c r="F68" s="156">
        <v>41340</v>
      </c>
      <c r="G68" s="156" t="s">
        <v>55</v>
      </c>
      <c r="H68" s="156" t="s">
        <v>24</v>
      </c>
      <c r="I68" s="157">
        <v>224264.27</v>
      </c>
      <c r="J68" s="158">
        <v>0.5</v>
      </c>
      <c r="K68" s="159">
        <f>MONTH(Tabela1[[#This Row],[Data da Venda]])</f>
        <v>3</v>
      </c>
      <c r="L68" s="159">
        <f>YEAR(Tabela1[[#This Row],[Data da Venda]])</f>
        <v>2013</v>
      </c>
    </row>
    <row r="69" spans="1:12" ht="15" hidden="1" customHeight="1">
      <c r="A69" s="151" t="s">
        <v>186</v>
      </c>
      <c r="B69" s="150" t="s">
        <v>418</v>
      </c>
      <c r="C69" s="155">
        <v>702</v>
      </c>
      <c r="D69" s="155" t="s">
        <v>328</v>
      </c>
      <c r="E69" s="155" t="s">
        <v>339</v>
      </c>
      <c r="F69" s="156">
        <v>41340</v>
      </c>
      <c r="G69" s="156" t="s">
        <v>306</v>
      </c>
      <c r="H69" s="156" t="s">
        <v>23</v>
      </c>
      <c r="I69" s="157">
        <v>224264.27</v>
      </c>
      <c r="J69" s="158">
        <v>0.5</v>
      </c>
      <c r="K69" s="159">
        <f>MONTH(Tabela1[[#This Row],[Data da Venda]])</f>
        <v>3</v>
      </c>
      <c r="L69" s="159">
        <f>YEAR(Tabela1[[#This Row],[Data da Venda]])</f>
        <v>2013</v>
      </c>
    </row>
    <row r="70" spans="1:12" ht="15" hidden="1" customHeight="1">
      <c r="A70" s="151" t="s">
        <v>186</v>
      </c>
      <c r="B70" s="150" t="s">
        <v>418</v>
      </c>
      <c r="C70" s="155">
        <v>703</v>
      </c>
      <c r="D70" s="155" t="s">
        <v>328</v>
      </c>
      <c r="E70" s="155" t="s">
        <v>339</v>
      </c>
      <c r="F70" s="156">
        <v>41340</v>
      </c>
      <c r="G70" s="156" t="s">
        <v>55</v>
      </c>
      <c r="H70" s="156" t="s">
        <v>24</v>
      </c>
      <c r="I70" s="157">
        <v>224443.27</v>
      </c>
      <c r="J70" s="158">
        <v>0.5</v>
      </c>
      <c r="K70" s="159">
        <f>MONTH(Tabela1[[#This Row],[Data da Venda]])</f>
        <v>3</v>
      </c>
      <c r="L70" s="159">
        <f>YEAR(Tabela1[[#This Row],[Data da Venda]])</f>
        <v>2013</v>
      </c>
    </row>
    <row r="71" spans="1:12" ht="15" hidden="1" customHeight="1">
      <c r="A71" s="151" t="s">
        <v>186</v>
      </c>
      <c r="B71" s="150" t="s">
        <v>418</v>
      </c>
      <c r="C71" s="155">
        <v>703</v>
      </c>
      <c r="D71" s="155" t="s">
        <v>328</v>
      </c>
      <c r="E71" s="155" t="s">
        <v>339</v>
      </c>
      <c r="F71" s="156">
        <v>41340</v>
      </c>
      <c r="G71" s="156" t="s">
        <v>306</v>
      </c>
      <c r="H71" s="156" t="s">
        <v>23</v>
      </c>
      <c r="I71" s="157">
        <v>224443.27</v>
      </c>
      <c r="J71" s="158">
        <v>0.5</v>
      </c>
      <c r="K71" s="159">
        <f>MONTH(Tabela1[[#This Row],[Data da Venda]])</f>
        <v>3</v>
      </c>
      <c r="L71" s="159">
        <f>YEAR(Tabela1[[#This Row],[Data da Venda]])</f>
        <v>2013</v>
      </c>
    </row>
    <row r="72" spans="1:12" ht="15" hidden="1" customHeight="1">
      <c r="A72" s="151" t="s">
        <v>420</v>
      </c>
      <c r="B72" s="150" t="s">
        <v>421</v>
      </c>
      <c r="C72" s="155">
        <v>101</v>
      </c>
      <c r="D72" s="155" t="s">
        <v>328</v>
      </c>
      <c r="E72" s="155" t="s">
        <v>340</v>
      </c>
      <c r="F72" s="156">
        <v>41343</v>
      </c>
      <c r="G72" s="156" t="s">
        <v>69</v>
      </c>
      <c r="H72" s="156" t="s">
        <v>26</v>
      </c>
      <c r="I72" s="157">
        <v>214848.07</v>
      </c>
      <c r="J72" s="160">
        <v>0.5</v>
      </c>
      <c r="K72" s="159">
        <f>MONTH(Tabela1[[#This Row],[Data da Venda]])</f>
        <v>3</v>
      </c>
      <c r="L72" s="159">
        <f>YEAR(Tabela1[[#This Row],[Data da Venda]])</f>
        <v>2013</v>
      </c>
    </row>
    <row r="73" spans="1:12" ht="15" hidden="1" customHeight="1">
      <c r="A73" s="151" t="s">
        <v>420</v>
      </c>
      <c r="B73" s="150" t="s">
        <v>421</v>
      </c>
      <c r="C73" s="155">
        <v>102</v>
      </c>
      <c r="D73" s="155" t="s">
        <v>328</v>
      </c>
      <c r="E73" s="155" t="s">
        <v>340</v>
      </c>
      <c r="F73" s="156">
        <v>41343</v>
      </c>
      <c r="G73" s="156" t="s">
        <v>62</v>
      </c>
      <c r="H73" s="156" t="s">
        <v>25</v>
      </c>
      <c r="I73" s="157">
        <v>218880.01</v>
      </c>
      <c r="J73" s="158">
        <v>0.5</v>
      </c>
      <c r="K73" s="159">
        <f>MONTH(Tabela1[[#This Row],[Data da Venda]])</f>
        <v>3</v>
      </c>
      <c r="L73" s="159">
        <f>YEAR(Tabela1[[#This Row],[Data da Venda]])</f>
        <v>2013</v>
      </c>
    </row>
    <row r="74" spans="1:12" ht="15" hidden="1" customHeight="1">
      <c r="A74" s="151" t="s">
        <v>420</v>
      </c>
      <c r="B74" s="150" t="s">
        <v>421</v>
      </c>
      <c r="C74" s="155">
        <v>102</v>
      </c>
      <c r="D74" s="155" t="s">
        <v>328</v>
      </c>
      <c r="E74" s="155" t="s">
        <v>340</v>
      </c>
      <c r="F74" s="156">
        <v>41343</v>
      </c>
      <c r="G74" s="156" t="s">
        <v>140</v>
      </c>
      <c r="H74" s="156" t="s">
        <v>32</v>
      </c>
      <c r="I74" s="157">
        <v>218880.01</v>
      </c>
      <c r="J74" s="158">
        <v>0.5</v>
      </c>
      <c r="K74" s="159">
        <f>MONTH(Tabela1[[#This Row],[Data da Venda]])</f>
        <v>3</v>
      </c>
      <c r="L74" s="159">
        <f>YEAR(Tabela1[[#This Row],[Data da Venda]])</f>
        <v>2013</v>
      </c>
    </row>
    <row r="75" spans="1:12" ht="15" hidden="1" customHeight="1">
      <c r="A75" s="151" t="s">
        <v>420</v>
      </c>
      <c r="B75" s="150" t="s">
        <v>421</v>
      </c>
      <c r="C75" s="155">
        <v>105</v>
      </c>
      <c r="D75" s="155" t="s">
        <v>328</v>
      </c>
      <c r="E75" s="155" t="s">
        <v>340</v>
      </c>
      <c r="F75" s="156">
        <v>41343</v>
      </c>
      <c r="G75" s="156" t="s">
        <v>77</v>
      </c>
      <c r="H75" s="156" t="s">
        <v>27</v>
      </c>
      <c r="I75" s="157">
        <v>397899.91</v>
      </c>
      <c r="J75" s="160">
        <v>1</v>
      </c>
      <c r="K75" s="159">
        <f>MONTH(Tabela1[[#This Row],[Data da Venda]])</f>
        <v>3</v>
      </c>
      <c r="L75" s="159">
        <f>YEAR(Tabela1[[#This Row],[Data da Venda]])</f>
        <v>2013</v>
      </c>
    </row>
    <row r="76" spans="1:12" ht="15" hidden="1" customHeight="1">
      <c r="A76" s="151" t="s">
        <v>420</v>
      </c>
      <c r="B76" s="150" t="s">
        <v>421</v>
      </c>
      <c r="C76" s="155">
        <v>106</v>
      </c>
      <c r="D76" s="155" t="s">
        <v>329</v>
      </c>
      <c r="E76" s="155" t="s">
        <v>340</v>
      </c>
      <c r="F76" s="156">
        <v>41343</v>
      </c>
      <c r="G76" s="156" t="s">
        <v>337</v>
      </c>
      <c r="H76" s="156" t="s">
        <v>33</v>
      </c>
      <c r="I76" s="157">
        <v>390000</v>
      </c>
      <c r="J76" s="158">
        <v>1</v>
      </c>
      <c r="K76" s="159">
        <f>MONTH(Tabela1[[#This Row],[Data da Venda]])</f>
        <v>3</v>
      </c>
      <c r="L76" s="159">
        <f>YEAR(Tabela1[[#This Row],[Data da Venda]])</f>
        <v>2013</v>
      </c>
    </row>
    <row r="77" spans="1:12" ht="15" hidden="1" customHeight="1">
      <c r="A77" s="151" t="s">
        <v>420</v>
      </c>
      <c r="B77" s="150" t="s">
        <v>421</v>
      </c>
      <c r="C77" s="155">
        <v>107</v>
      </c>
      <c r="D77" s="155" t="s">
        <v>328</v>
      </c>
      <c r="E77" s="155" t="s">
        <v>340</v>
      </c>
      <c r="F77" s="156">
        <v>41343</v>
      </c>
      <c r="G77" s="156" t="s">
        <v>207</v>
      </c>
      <c r="H77" s="156" t="s">
        <v>32</v>
      </c>
      <c r="I77" s="157">
        <v>372800</v>
      </c>
      <c r="J77" s="160">
        <v>1</v>
      </c>
      <c r="K77" s="159">
        <f>MONTH(Tabela1[[#This Row],[Data da Venda]])</f>
        <v>3</v>
      </c>
      <c r="L77" s="159">
        <f>YEAR(Tabela1[[#This Row],[Data da Venda]])</f>
        <v>2013</v>
      </c>
    </row>
    <row r="78" spans="1:12" ht="15" hidden="1" customHeight="1">
      <c r="A78" s="151" t="s">
        <v>420</v>
      </c>
      <c r="B78" s="150" t="s">
        <v>421</v>
      </c>
      <c r="C78" s="155">
        <v>109</v>
      </c>
      <c r="D78" s="155" t="s">
        <v>329</v>
      </c>
      <c r="E78" s="155" t="s">
        <v>340</v>
      </c>
      <c r="F78" s="156">
        <v>41343</v>
      </c>
      <c r="G78" s="156" t="s">
        <v>465</v>
      </c>
      <c r="H78" s="156" t="s">
        <v>33</v>
      </c>
      <c r="I78" s="157">
        <v>428268.1</v>
      </c>
      <c r="J78" s="158">
        <v>1</v>
      </c>
      <c r="K78" s="159">
        <f>MONTH(Tabela1[[#This Row],[Data da Venda]])</f>
        <v>3</v>
      </c>
      <c r="L78" s="159">
        <f>YEAR(Tabela1[[#This Row],[Data da Venda]])</f>
        <v>2013</v>
      </c>
    </row>
    <row r="79" spans="1:12" ht="15" hidden="1" customHeight="1">
      <c r="A79" s="151" t="s">
        <v>420</v>
      </c>
      <c r="B79" s="150" t="s">
        <v>421</v>
      </c>
      <c r="C79" s="155">
        <v>301</v>
      </c>
      <c r="D79" s="155" t="s">
        <v>328</v>
      </c>
      <c r="E79" s="155" t="s">
        <v>340</v>
      </c>
      <c r="F79" s="156">
        <v>41343</v>
      </c>
      <c r="G79" s="156" t="s">
        <v>104</v>
      </c>
      <c r="H79" s="156" t="s">
        <v>26</v>
      </c>
      <c r="I79" s="157">
        <v>214848.07</v>
      </c>
      <c r="J79" s="158">
        <v>0.5</v>
      </c>
      <c r="K79" s="159">
        <f>MONTH(Tabela1[[#This Row],[Data da Venda]])</f>
        <v>3</v>
      </c>
      <c r="L79" s="159">
        <f>YEAR(Tabela1[[#This Row],[Data da Venda]])</f>
        <v>2013</v>
      </c>
    </row>
    <row r="80" spans="1:12" ht="15" hidden="1" customHeight="1">
      <c r="A80" s="151" t="s">
        <v>420</v>
      </c>
      <c r="B80" s="150" t="s">
        <v>421</v>
      </c>
      <c r="C80" s="155">
        <v>301</v>
      </c>
      <c r="D80" s="155" t="s">
        <v>328</v>
      </c>
      <c r="E80" s="155" t="s">
        <v>340</v>
      </c>
      <c r="F80" s="156">
        <v>41343</v>
      </c>
      <c r="G80" s="156" t="s">
        <v>22</v>
      </c>
      <c r="H80" s="156" t="s">
        <v>23</v>
      </c>
      <c r="I80" s="157">
        <v>214848.07</v>
      </c>
      <c r="J80" s="158">
        <v>0.5</v>
      </c>
      <c r="K80" s="159">
        <f>MONTH(Tabela1[[#This Row],[Data da Venda]])</f>
        <v>3</v>
      </c>
      <c r="L80" s="159">
        <f>YEAR(Tabela1[[#This Row],[Data da Venda]])</f>
        <v>2013</v>
      </c>
    </row>
    <row r="81" spans="1:12" ht="15" hidden="1" customHeight="1">
      <c r="A81" s="151" t="s">
        <v>420</v>
      </c>
      <c r="B81" s="150" t="s">
        <v>421</v>
      </c>
      <c r="C81" s="155">
        <v>302</v>
      </c>
      <c r="D81" s="155" t="s">
        <v>328</v>
      </c>
      <c r="E81" s="155" t="s">
        <v>340</v>
      </c>
      <c r="F81" s="156">
        <v>41343</v>
      </c>
      <c r="G81" s="156" t="s">
        <v>104</v>
      </c>
      <c r="H81" s="156" t="s">
        <v>26</v>
      </c>
      <c r="I81" s="157">
        <v>109440</v>
      </c>
      <c r="J81" s="160">
        <v>0.25</v>
      </c>
      <c r="K81" s="159">
        <f>MONTH(Tabela1[[#This Row],[Data da Venda]])</f>
        <v>3</v>
      </c>
      <c r="L81" s="159">
        <f>YEAR(Tabela1[[#This Row],[Data da Venda]])</f>
        <v>2013</v>
      </c>
    </row>
    <row r="82" spans="1:12" ht="15" hidden="1" customHeight="1">
      <c r="A82" s="151" t="s">
        <v>420</v>
      </c>
      <c r="B82" s="150" t="s">
        <v>421</v>
      </c>
      <c r="C82" s="155">
        <v>302</v>
      </c>
      <c r="D82" s="155" t="s">
        <v>328</v>
      </c>
      <c r="E82" s="155" t="s">
        <v>340</v>
      </c>
      <c r="F82" s="156">
        <v>41343</v>
      </c>
      <c r="G82" s="156" t="s">
        <v>22</v>
      </c>
      <c r="H82" s="156" t="s">
        <v>23</v>
      </c>
      <c r="I82" s="157">
        <v>109440</v>
      </c>
      <c r="J82" s="160">
        <v>0.25</v>
      </c>
      <c r="K82" s="159">
        <f>MONTH(Tabela1[[#This Row],[Data da Venda]])</f>
        <v>3</v>
      </c>
      <c r="L82" s="159">
        <f>YEAR(Tabela1[[#This Row],[Data da Venda]])</f>
        <v>2013</v>
      </c>
    </row>
    <row r="83" spans="1:12" ht="15" hidden="1" customHeight="1">
      <c r="A83" s="151" t="s">
        <v>420</v>
      </c>
      <c r="B83" s="150" t="s">
        <v>421</v>
      </c>
      <c r="C83" s="155">
        <v>303</v>
      </c>
      <c r="D83" s="155" t="s">
        <v>328</v>
      </c>
      <c r="E83" s="155" t="s">
        <v>340</v>
      </c>
      <c r="F83" s="156">
        <v>41343</v>
      </c>
      <c r="G83" s="156" t="s">
        <v>80</v>
      </c>
      <c r="H83" s="156" t="s">
        <v>23</v>
      </c>
      <c r="I83" s="157">
        <v>423936.14</v>
      </c>
      <c r="J83" s="160">
        <v>1</v>
      </c>
      <c r="K83" s="159">
        <f>MONTH(Tabela1[[#This Row],[Data da Venda]])</f>
        <v>3</v>
      </c>
      <c r="L83" s="159">
        <f>YEAR(Tabela1[[#This Row],[Data da Venda]])</f>
        <v>2013</v>
      </c>
    </row>
    <row r="84" spans="1:12" ht="15" hidden="1" customHeight="1">
      <c r="A84" s="151" t="s">
        <v>420</v>
      </c>
      <c r="B84" s="150" t="s">
        <v>421</v>
      </c>
      <c r="C84" s="155">
        <v>304</v>
      </c>
      <c r="D84" s="155" t="s">
        <v>328</v>
      </c>
      <c r="E84" s="155" t="s">
        <v>340</v>
      </c>
      <c r="F84" s="156">
        <v>41343</v>
      </c>
      <c r="G84" s="156" t="s">
        <v>80</v>
      </c>
      <c r="H84" s="156" t="s">
        <v>23</v>
      </c>
      <c r="I84" s="157">
        <v>354544.68</v>
      </c>
      <c r="J84" s="160">
        <v>1</v>
      </c>
      <c r="K84" s="159">
        <f>MONTH(Tabela1[[#This Row],[Data da Venda]])</f>
        <v>3</v>
      </c>
      <c r="L84" s="159">
        <f>YEAR(Tabela1[[#This Row],[Data da Venda]])</f>
        <v>2013</v>
      </c>
    </row>
    <row r="85" spans="1:12" ht="15" hidden="1" customHeight="1">
      <c r="A85" s="151" t="s">
        <v>420</v>
      </c>
      <c r="B85" s="150" t="s">
        <v>421</v>
      </c>
      <c r="C85" s="155">
        <v>305</v>
      </c>
      <c r="D85" s="155" t="s">
        <v>328</v>
      </c>
      <c r="E85" s="155" t="s">
        <v>340</v>
      </c>
      <c r="F85" s="156">
        <v>41343</v>
      </c>
      <c r="G85" s="156" t="s">
        <v>22</v>
      </c>
      <c r="H85" s="156" t="s">
        <v>23</v>
      </c>
      <c r="I85" s="157">
        <v>435735.76</v>
      </c>
      <c r="J85" s="160">
        <v>1</v>
      </c>
      <c r="K85" s="159">
        <f>MONTH(Tabela1[[#This Row],[Data da Venda]])</f>
        <v>3</v>
      </c>
      <c r="L85" s="159">
        <f>YEAR(Tabela1[[#This Row],[Data da Venda]])</f>
        <v>2013</v>
      </c>
    </row>
    <row r="86" spans="1:12" ht="15.75" hidden="1" customHeight="1">
      <c r="A86" s="151" t="s">
        <v>420</v>
      </c>
      <c r="B86" s="150" t="s">
        <v>421</v>
      </c>
      <c r="C86" s="155">
        <v>306</v>
      </c>
      <c r="D86" s="155" t="s">
        <v>328</v>
      </c>
      <c r="E86" s="155" t="s">
        <v>340</v>
      </c>
      <c r="F86" s="156">
        <v>41343</v>
      </c>
      <c r="G86" s="156" t="s">
        <v>22</v>
      </c>
      <c r="H86" s="156" t="s">
        <v>23</v>
      </c>
      <c r="I86" s="157">
        <v>429696.14</v>
      </c>
      <c r="J86" s="160">
        <v>1</v>
      </c>
      <c r="K86" s="159">
        <f>MONTH(Tabela1[[#This Row],[Data da Venda]])</f>
        <v>3</v>
      </c>
      <c r="L86" s="159">
        <f>YEAR(Tabela1[[#This Row],[Data da Venda]])</f>
        <v>2013</v>
      </c>
    </row>
    <row r="87" spans="1:12" ht="15" hidden="1" customHeight="1">
      <c r="A87" s="151" t="s">
        <v>420</v>
      </c>
      <c r="B87" s="150" t="s">
        <v>421</v>
      </c>
      <c r="C87" s="155">
        <v>307</v>
      </c>
      <c r="D87" s="155" t="s">
        <v>328</v>
      </c>
      <c r="E87" s="155" t="s">
        <v>340</v>
      </c>
      <c r="F87" s="156">
        <v>41343</v>
      </c>
      <c r="G87" s="156" t="s">
        <v>22</v>
      </c>
      <c r="H87" s="156" t="s">
        <v>23</v>
      </c>
      <c r="I87" s="157">
        <v>413273.32</v>
      </c>
      <c r="J87" s="160">
        <v>1</v>
      </c>
      <c r="K87" s="159">
        <f>MONTH(Tabela1[[#This Row],[Data da Venda]])</f>
        <v>3</v>
      </c>
      <c r="L87" s="159">
        <f>YEAR(Tabela1[[#This Row],[Data da Venda]])</f>
        <v>2013</v>
      </c>
    </row>
    <row r="88" spans="1:12" ht="15" hidden="1" customHeight="1">
      <c r="A88" s="151" t="s">
        <v>420</v>
      </c>
      <c r="B88" s="150" t="s">
        <v>421</v>
      </c>
      <c r="C88" s="155">
        <v>308</v>
      </c>
      <c r="D88" s="155" t="s">
        <v>328</v>
      </c>
      <c r="E88" s="155" t="s">
        <v>340</v>
      </c>
      <c r="F88" s="156">
        <v>41343</v>
      </c>
      <c r="G88" s="156" t="s">
        <v>22</v>
      </c>
      <c r="H88" s="156" t="s">
        <v>23</v>
      </c>
      <c r="I88" s="157">
        <v>438954.6</v>
      </c>
      <c r="J88" s="160">
        <v>1</v>
      </c>
      <c r="K88" s="159">
        <f>MONTH(Tabela1[[#This Row],[Data da Venda]])</f>
        <v>3</v>
      </c>
      <c r="L88" s="159">
        <f>YEAR(Tabela1[[#This Row],[Data da Venda]])</f>
        <v>2013</v>
      </c>
    </row>
    <row r="89" spans="1:12" ht="15" hidden="1" customHeight="1">
      <c r="A89" s="151" t="s">
        <v>420</v>
      </c>
      <c r="B89" s="150" t="s">
        <v>421</v>
      </c>
      <c r="C89" s="155">
        <v>309</v>
      </c>
      <c r="D89" s="155" t="s">
        <v>328</v>
      </c>
      <c r="E89" s="155" t="s">
        <v>340</v>
      </c>
      <c r="F89" s="156">
        <v>41343</v>
      </c>
      <c r="G89" s="156" t="s">
        <v>22</v>
      </c>
      <c r="H89" s="156" t="s">
        <v>23</v>
      </c>
      <c r="I89" s="157">
        <v>423936.14</v>
      </c>
      <c r="J89" s="160">
        <v>1</v>
      </c>
      <c r="K89" s="159">
        <f>MONTH(Tabela1[[#This Row],[Data da Venda]])</f>
        <v>3</v>
      </c>
      <c r="L89" s="159">
        <f>YEAR(Tabela1[[#This Row],[Data da Venda]])</f>
        <v>2013</v>
      </c>
    </row>
    <row r="90" spans="1:12" ht="15" hidden="1" customHeight="1">
      <c r="A90" s="151" t="s">
        <v>420</v>
      </c>
      <c r="B90" s="150" t="s">
        <v>421</v>
      </c>
      <c r="C90" s="155">
        <v>310</v>
      </c>
      <c r="D90" s="155" t="s">
        <v>328</v>
      </c>
      <c r="E90" s="155" t="s">
        <v>340</v>
      </c>
      <c r="F90" s="156">
        <v>41343</v>
      </c>
      <c r="G90" s="156" t="s">
        <v>22</v>
      </c>
      <c r="H90" s="156" t="s">
        <v>23</v>
      </c>
      <c r="I90" s="157">
        <v>423936.14</v>
      </c>
      <c r="J90" s="160">
        <v>1</v>
      </c>
      <c r="K90" s="159">
        <f>MONTH(Tabela1[[#This Row],[Data da Venda]])</f>
        <v>3</v>
      </c>
      <c r="L90" s="159">
        <f>YEAR(Tabela1[[#This Row],[Data da Venda]])</f>
        <v>2013</v>
      </c>
    </row>
    <row r="91" spans="1:12" ht="15" hidden="1" customHeight="1">
      <c r="A91" s="151" t="s">
        <v>420</v>
      </c>
      <c r="B91" s="150" t="s">
        <v>421</v>
      </c>
      <c r="C91" s="155">
        <v>311</v>
      </c>
      <c r="D91" s="155" t="s">
        <v>328</v>
      </c>
      <c r="E91" s="155" t="s">
        <v>340</v>
      </c>
      <c r="F91" s="156">
        <v>41343</v>
      </c>
      <c r="G91" s="156" t="s">
        <v>22</v>
      </c>
      <c r="H91" s="156" t="s">
        <v>23</v>
      </c>
      <c r="I91" s="157">
        <v>399814.5</v>
      </c>
      <c r="J91" s="160">
        <v>1</v>
      </c>
      <c r="K91" s="159">
        <f>MONTH(Tabela1[[#This Row],[Data da Venda]])</f>
        <v>3</v>
      </c>
      <c r="L91" s="159">
        <f>YEAR(Tabela1[[#This Row],[Data da Venda]])</f>
        <v>2013</v>
      </c>
    </row>
    <row r="92" spans="1:12" ht="15" hidden="1" customHeight="1">
      <c r="A92" s="151" t="s">
        <v>420</v>
      </c>
      <c r="B92" s="150" t="s">
        <v>421</v>
      </c>
      <c r="C92" s="155">
        <v>312</v>
      </c>
      <c r="D92" s="155" t="s">
        <v>329</v>
      </c>
      <c r="E92" s="155" t="s">
        <v>340</v>
      </c>
      <c r="F92" s="156">
        <v>41343</v>
      </c>
      <c r="G92" s="156" t="s">
        <v>337</v>
      </c>
      <c r="H92" s="156" t="s">
        <v>33</v>
      </c>
      <c r="I92" s="157">
        <v>193680</v>
      </c>
      <c r="J92" s="160">
        <v>0.5</v>
      </c>
      <c r="K92" s="159">
        <f>MONTH(Tabela1[[#This Row],[Data da Venda]])</f>
        <v>3</v>
      </c>
      <c r="L92" s="159">
        <f>YEAR(Tabela1[[#This Row],[Data da Venda]])</f>
        <v>2013</v>
      </c>
    </row>
    <row r="93" spans="1:12" ht="15" hidden="1" customHeight="1">
      <c r="A93" s="151" t="s">
        <v>420</v>
      </c>
      <c r="B93" s="150" t="s">
        <v>421</v>
      </c>
      <c r="C93" s="155">
        <v>101</v>
      </c>
      <c r="D93" s="155" t="s">
        <v>328</v>
      </c>
      <c r="E93" s="155" t="s">
        <v>340</v>
      </c>
      <c r="F93" s="156">
        <v>41343</v>
      </c>
      <c r="G93" s="156" t="s">
        <v>71</v>
      </c>
      <c r="H93" s="156" t="s">
        <v>24</v>
      </c>
      <c r="I93" s="157">
        <v>214848.07</v>
      </c>
      <c r="J93" s="160">
        <v>0.5</v>
      </c>
      <c r="K93" s="159">
        <f>MONTH(Tabela1[[#This Row],[Data da Venda]])</f>
        <v>3</v>
      </c>
      <c r="L93" s="159">
        <f>YEAR(Tabela1[[#This Row],[Data da Venda]])</f>
        <v>2013</v>
      </c>
    </row>
    <row r="94" spans="1:12" ht="15" hidden="1" customHeight="1">
      <c r="A94" s="151" t="s">
        <v>420</v>
      </c>
      <c r="B94" s="150" t="s">
        <v>421</v>
      </c>
      <c r="C94" s="155">
        <v>401</v>
      </c>
      <c r="D94" s="155" t="s">
        <v>329</v>
      </c>
      <c r="E94" s="155" t="s">
        <v>340</v>
      </c>
      <c r="F94" s="156">
        <v>41343</v>
      </c>
      <c r="G94" s="156" t="s">
        <v>465</v>
      </c>
      <c r="H94" s="156" t="s">
        <v>33</v>
      </c>
      <c r="I94" s="157">
        <v>408516.96</v>
      </c>
      <c r="J94" s="158">
        <v>1</v>
      </c>
      <c r="K94" s="159">
        <f>MONTH(Tabela1[[#This Row],[Data da Venda]])</f>
        <v>3</v>
      </c>
      <c r="L94" s="159">
        <f>YEAR(Tabela1[[#This Row],[Data da Venda]])</f>
        <v>2013</v>
      </c>
    </row>
    <row r="95" spans="1:12" ht="15" hidden="1" customHeight="1">
      <c r="A95" s="151" t="s">
        <v>420</v>
      </c>
      <c r="B95" s="150" t="s">
        <v>421</v>
      </c>
      <c r="C95" s="155">
        <v>402</v>
      </c>
      <c r="D95" s="155" t="s">
        <v>329</v>
      </c>
      <c r="E95" s="155" t="s">
        <v>340</v>
      </c>
      <c r="F95" s="156">
        <v>41343</v>
      </c>
      <c r="G95" s="156" t="s">
        <v>465</v>
      </c>
      <c r="H95" s="156" t="s">
        <v>33</v>
      </c>
      <c r="I95" s="157">
        <v>416183.53</v>
      </c>
      <c r="J95" s="158">
        <v>1</v>
      </c>
      <c r="K95" s="159">
        <f>MONTH(Tabela1[[#This Row],[Data da Venda]])</f>
        <v>3</v>
      </c>
      <c r="L95" s="159">
        <f>YEAR(Tabela1[[#This Row],[Data da Venda]])</f>
        <v>2013</v>
      </c>
    </row>
    <row r="96" spans="1:12" ht="15" hidden="1" customHeight="1">
      <c r="A96" s="151" t="s">
        <v>420</v>
      </c>
      <c r="B96" s="150" t="s">
        <v>421</v>
      </c>
      <c r="C96" s="155">
        <v>403</v>
      </c>
      <c r="D96" s="155" t="s">
        <v>329</v>
      </c>
      <c r="E96" s="155" t="s">
        <v>340</v>
      </c>
      <c r="F96" s="156">
        <v>41343</v>
      </c>
      <c r="G96" s="156" t="s">
        <v>465</v>
      </c>
      <c r="H96" s="156" t="s">
        <v>33</v>
      </c>
      <c r="I96" s="157">
        <v>403041</v>
      </c>
      <c r="J96" s="158">
        <v>1</v>
      </c>
      <c r="K96" s="159">
        <f>MONTH(Tabela1[[#This Row],[Data da Venda]])</f>
        <v>3</v>
      </c>
      <c r="L96" s="159">
        <f>YEAR(Tabela1[[#This Row],[Data da Venda]])</f>
        <v>2013</v>
      </c>
    </row>
    <row r="97" spans="1:12" ht="15" hidden="1" customHeight="1">
      <c r="A97" s="151" t="s">
        <v>420</v>
      </c>
      <c r="B97" s="150" t="s">
        <v>421</v>
      </c>
      <c r="C97" s="155">
        <v>510</v>
      </c>
      <c r="D97" s="155" t="s">
        <v>329</v>
      </c>
      <c r="E97" s="155" t="s">
        <v>340</v>
      </c>
      <c r="F97" s="156">
        <v>41343</v>
      </c>
      <c r="G97" s="156" t="s">
        <v>337</v>
      </c>
      <c r="H97" s="156" t="s">
        <v>33</v>
      </c>
      <c r="I97" s="157">
        <v>216624.07</v>
      </c>
      <c r="J97" s="158">
        <v>0.5</v>
      </c>
      <c r="K97" s="159">
        <f>MONTH(Tabela1[[#This Row],[Data da Venda]])</f>
        <v>3</v>
      </c>
      <c r="L97" s="159">
        <f>YEAR(Tabela1[[#This Row],[Data da Venda]])</f>
        <v>2013</v>
      </c>
    </row>
    <row r="98" spans="1:12" ht="15" hidden="1" customHeight="1">
      <c r="A98" s="151" t="s">
        <v>420</v>
      </c>
      <c r="B98" s="150" t="s">
        <v>421</v>
      </c>
      <c r="C98" s="155">
        <v>511</v>
      </c>
      <c r="D98" s="155" t="s">
        <v>329</v>
      </c>
      <c r="E98" s="155" t="s">
        <v>340</v>
      </c>
      <c r="F98" s="156">
        <v>41343</v>
      </c>
      <c r="G98" s="156" t="s">
        <v>337</v>
      </c>
      <c r="H98" s="156" t="s">
        <v>33</v>
      </c>
      <c r="I98" s="157">
        <v>224315.41</v>
      </c>
      <c r="J98" s="158">
        <v>0.5</v>
      </c>
      <c r="K98" s="159">
        <f>MONTH(Tabela1[[#This Row],[Data da Venda]])</f>
        <v>3</v>
      </c>
      <c r="L98" s="159">
        <f>YEAR(Tabela1[[#This Row],[Data da Venda]])</f>
        <v>2013</v>
      </c>
    </row>
    <row r="99" spans="1:12" ht="15" hidden="1" customHeight="1">
      <c r="A99" s="151" t="s">
        <v>420</v>
      </c>
      <c r="B99" s="150" t="s">
        <v>421</v>
      </c>
      <c r="C99" s="155">
        <v>512</v>
      </c>
      <c r="D99" s="155" t="s">
        <v>329</v>
      </c>
      <c r="E99" s="155" t="s">
        <v>340</v>
      </c>
      <c r="F99" s="156">
        <v>41343</v>
      </c>
      <c r="G99" s="156" t="s">
        <v>337</v>
      </c>
      <c r="H99" s="156" t="s">
        <v>33</v>
      </c>
      <c r="I99" s="157">
        <v>219893.29</v>
      </c>
      <c r="J99" s="158">
        <v>0.5</v>
      </c>
      <c r="K99" s="159">
        <f>MONTH(Tabela1[[#This Row],[Data da Venda]])</f>
        <v>3</v>
      </c>
      <c r="L99" s="159">
        <f>YEAR(Tabela1[[#This Row],[Data da Venda]])</f>
        <v>2013</v>
      </c>
    </row>
    <row r="100" spans="1:12" ht="15" hidden="1" customHeight="1">
      <c r="A100" s="151" t="s">
        <v>420</v>
      </c>
      <c r="B100" s="150" t="s">
        <v>421</v>
      </c>
      <c r="C100" s="155">
        <v>601</v>
      </c>
      <c r="D100" s="155" t="s">
        <v>329</v>
      </c>
      <c r="E100" s="155" t="s">
        <v>340</v>
      </c>
      <c r="F100" s="156">
        <v>41343</v>
      </c>
      <c r="G100" s="156" t="s">
        <v>465</v>
      </c>
      <c r="H100" s="156" t="s">
        <v>33</v>
      </c>
      <c r="I100" s="157">
        <v>370000</v>
      </c>
      <c r="J100" s="158">
        <v>1</v>
      </c>
      <c r="K100" s="159">
        <f>MONTH(Tabela1[[#This Row],[Data da Venda]])</f>
        <v>3</v>
      </c>
      <c r="L100" s="159">
        <f>YEAR(Tabela1[[#This Row],[Data da Venda]])</f>
        <v>2013</v>
      </c>
    </row>
    <row r="101" spans="1:12" ht="15" hidden="1" customHeight="1">
      <c r="A101" s="151" t="s">
        <v>420</v>
      </c>
      <c r="B101" s="150" t="s">
        <v>421</v>
      </c>
      <c r="C101" s="155">
        <v>602</v>
      </c>
      <c r="D101" s="155" t="s">
        <v>329</v>
      </c>
      <c r="E101" s="155" t="s">
        <v>340</v>
      </c>
      <c r="F101" s="156">
        <v>41343</v>
      </c>
      <c r="G101" s="156" t="s">
        <v>463</v>
      </c>
      <c r="H101" s="156" t="s">
        <v>33</v>
      </c>
      <c r="I101" s="157">
        <v>370000</v>
      </c>
      <c r="J101" s="158">
        <v>1</v>
      </c>
      <c r="K101" s="159">
        <f>MONTH(Tabela1[[#This Row],[Data da Venda]])</f>
        <v>3</v>
      </c>
      <c r="L101" s="159">
        <f>YEAR(Tabela1[[#This Row],[Data da Venda]])</f>
        <v>2013</v>
      </c>
    </row>
    <row r="102" spans="1:12" ht="15" hidden="1" customHeight="1">
      <c r="A102" s="151" t="s">
        <v>420</v>
      </c>
      <c r="B102" s="150" t="s">
        <v>421</v>
      </c>
      <c r="C102" s="155">
        <v>603</v>
      </c>
      <c r="D102" s="155" t="s">
        <v>329</v>
      </c>
      <c r="E102" s="155" t="s">
        <v>340</v>
      </c>
      <c r="F102" s="156">
        <v>41343</v>
      </c>
      <c r="G102" s="156" t="s">
        <v>337</v>
      </c>
      <c r="H102" s="156" t="s">
        <v>33</v>
      </c>
      <c r="I102" s="157">
        <v>403102.03</v>
      </c>
      <c r="J102" s="158">
        <v>1</v>
      </c>
      <c r="K102" s="159">
        <f>MONTH(Tabela1[[#This Row],[Data da Venda]])</f>
        <v>3</v>
      </c>
      <c r="L102" s="159">
        <f>YEAR(Tabela1[[#This Row],[Data da Venda]])</f>
        <v>2013</v>
      </c>
    </row>
    <row r="103" spans="1:12" ht="15" hidden="1" customHeight="1">
      <c r="A103" s="151" t="s">
        <v>420</v>
      </c>
      <c r="B103" s="150" t="s">
        <v>421</v>
      </c>
      <c r="C103" s="155">
        <v>605</v>
      </c>
      <c r="D103" s="155" t="s">
        <v>328</v>
      </c>
      <c r="E103" s="155" t="s">
        <v>340</v>
      </c>
      <c r="F103" s="156">
        <v>41343</v>
      </c>
      <c r="G103" s="156" t="s">
        <v>80</v>
      </c>
      <c r="H103" s="156" t="s">
        <v>23</v>
      </c>
      <c r="I103" s="157">
        <v>411319.35</v>
      </c>
      <c r="J103" s="160">
        <v>1</v>
      </c>
      <c r="K103" s="159">
        <f>MONTH(Tabela1[[#This Row],[Data da Venda]])</f>
        <v>3</v>
      </c>
      <c r="L103" s="159">
        <f>YEAR(Tabela1[[#This Row],[Data da Venda]])</f>
        <v>2013</v>
      </c>
    </row>
    <row r="104" spans="1:12" ht="15" hidden="1" customHeight="1">
      <c r="A104" s="151" t="s">
        <v>420</v>
      </c>
      <c r="B104" s="150" t="s">
        <v>421</v>
      </c>
      <c r="C104" s="155">
        <v>606</v>
      </c>
      <c r="D104" s="155" t="s">
        <v>328</v>
      </c>
      <c r="E104" s="155" t="s">
        <v>340</v>
      </c>
      <c r="F104" s="156">
        <v>41343</v>
      </c>
      <c r="G104" s="156" t="s">
        <v>66</v>
      </c>
      <c r="H104" s="156" t="s">
        <v>26</v>
      </c>
      <c r="I104" s="157">
        <v>440249.72</v>
      </c>
      <c r="J104" s="158">
        <v>1</v>
      </c>
      <c r="K104" s="159">
        <f>MONTH(Tabela1[[#This Row],[Data da Venda]])</f>
        <v>3</v>
      </c>
      <c r="L104" s="159">
        <f>YEAR(Tabela1[[#This Row],[Data da Venda]])</f>
        <v>2013</v>
      </c>
    </row>
    <row r="105" spans="1:12" ht="15" hidden="1" customHeight="1">
      <c r="A105" s="151" t="s">
        <v>420</v>
      </c>
      <c r="B105" s="150" t="s">
        <v>421</v>
      </c>
      <c r="C105" s="155">
        <v>607</v>
      </c>
      <c r="D105" s="155" t="s">
        <v>328</v>
      </c>
      <c r="E105" s="155" t="s">
        <v>340</v>
      </c>
      <c r="F105" s="156">
        <v>41343</v>
      </c>
      <c r="G105" s="156" t="s">
        <v>66</v>
      </c>
      <c r="H105" s="156" t="s">
        <v>26</v>
      </c>
      <c r="I105" s="157">
        <v>440249.72</v>
      </c>
      <c r="J105" s="158">
        <v>1</v>
      </c>
      <c r="K105" s="159">
        <f>MONTH(Tabela1[[#This Row],[Data da Venda]])</f>
        <v>3</v>
      </c>
      <c r="L105" s="159">
        <f>YEAR(Tabela1[[#This Row],[Data da Venda]])</f>
        <v>2013</v>
      </c>
    </row>
    <row r="106" spans="1:12" ht="15" hidden="1" customHeight="1">
      <c r="A106" s="151" t="s">
        <v>420</v>
      </c>
      <c r="B106" s="150" t="s">
        <v>421</v>
      </c>
      <c r="C106" s="155">
        <v>609</v>
      </c>
      <c r="D106" s="155" t="s">
        <v>328</v>
      </c>
      <c r="E106" s="155" t="s">
        <v>340</v>
      </c>
      <c r="F106" s="156">
        <v>41343</v>
      </c>
      <c r="G106" s="156" t="s">
        <v>140</v>
      </c>
      <c r="H106" s="156" t="s">
        <v>32</v>
      </c>
      <c r="I106" s="157">
        <v>432768.05</v>
      </c>
      <c r="J106" s="160">
        <v>1</v>
      </c>
      <c r="K106" s="159">
        <f>MONTH(Tabela1[[#This Row],[Data da Venda]])</f>
        <v>3</v>
      </c>
      <c r="L106" s="159">
        <f>YEAR(Tabela1[[#This Row],[Data da Venda]])</f>
        <v>2013</v>
      </c>
    </row>
    <row r="107" spans="1:12" ht="15" hidden="1" customHeight="1">
      <c r="A107" s="151" t="s">
        <v>420</v>
      </c>
      <c r="B107" s="150" t="s">
        <v>421</v>
      </c>
      <c r="C107" s="155">
        <v>610</v>
      </c>
      <c r="D107" s="155" t="s">
        <v>328</v>
      </c>
      <c r="E107" s="155" t="s">
        <v>340</v>
      </c>
      <c r="F107" s="156">
        <v>41343</v>
      </c>
      <c r="G107" s="156" t="s">
        <v>237</v>
      </c>
      <c r="H107" s="156" t="s">
        <v>27</v>
      </c>
      <c r="I107" s="157">
        <v>389830</v>
      </c>
      <c r="J107" s="160">
        <v>1</v>
      </c>
      <c r="K107" s="159">
        <f>MONTH(Tabela1[[#This Row],[Data da Venda]])</f>
        <v>3</v>
      </c>
      <c r="L107" s="159">
        <f>YEAR(Tabela1[[#This Row],[Data da Venda]])</f>
        <v>2013</v>
      </c>
    </row>
    <row r="108" spans="1:12" ht="15" hidden="1" customHeight="1">
      <c r="A108" s="151" t="s">
        <v>420</v>
      </c>
      <c r="B108" s="150" t="s">
        <v>421</v>
      </c>
      <c r="C108" s="155">
        <v>612</v>
      </c>
      <c r="D108" s="155" t="s">
        <v>328</v>
      </c>
      <c r="E108" s="155" t="s">
        <v>340</v>
      </c>
      <c r="F108" s="156">
        <v>41343</v>
      </c>
      <c r="G108" s="156" t="s">
        <v>64</v>
      </c>
      <c r="H108" s="156" t="s">
        <v>25</v>
      </c>
      <c r="I108" s="157">
        <v>216274.34</v>
      </c>
      <c r="J108" s="158">
        <v>0.5</v>
      </c>
      <c r="K108" s="159">
        <f>MONTH(Tabela1[[#This Row],[Data da Venda]])</f>
        <v>3</v>
      </c>
      <c r="L108" s="159">
        <f>YEAR(Tabela1[[#This Row],[Data da Venda]])</f>
        <v>2013</v>
      </c>
    </row>
    <row r="109" spans="1:12" ht="15" hidden="1" customHeight="1">
      <c r="A109" s="151" t="s">
        <v>420</v>
      </c>
      <c r="B109" s="150" t="s">
        <v>421</v>
      </c>
      <c r="C109" s="155">
        <v>612</v>
      </c>
      <c r="D109" s="155" t="s">
        <v>328</v>
      </c>
      <c r="E109" s="155" t="s">
        <v>340</v>
      </c>
      <c r="F109" s="156">
        <v>41343</v>
      </c>
      <c r="G109" s="156" t="s">
        <v>63</v>
      </c>
      <c r="H109" s="156" t="s">
        <v>25</v>
      </c>
      <c r="I109" s="157">
        <v>216274.34</v>
      </c>
      <c r="J109" s="158">
        <v>0.5</v>
      </c>
      <c r="K109" s="159">
        <f>MONTH(Tabela1[[#This Row],[Data da Venda]])</f>
        <v>3</v>
      </c>
      <c r="L109" s="159">
        <f>YEAR(Tabela1[[#This Row],[Data da Venda]])</f>
        <v>2013</v>
      </c>
    </row>
    <row r="110" spans="1:12" ht="15" hidden="1" customHeight="1">
      <c r="A110" s="151" t="s">
        <v>420</v>
      </c>
      <c r="B110" s="150" t="s">
        <v>421</v>
      </c>
      <c r="C110" s="155">
        <v>701</v>
      </c>
      <c r="D110" s="155" t="s">
        <v>328</v>
      </c>
      <c r="E110" s="155" t="s">
        <v>340</v>
      </c>
      <c r="F110" s="156">
        <v>41343</v>
      </c>
      <c r="G110" s="156" t="s">
        <v>140</v>
      </c>
      <c r="H110" s="156" t="s">
        <v>32</v>
      </c>
      <c r="I110" s="157">
        <v>447600.01</v>
      </c>
      <c r="J110" s="160">
        <v>1</v>
      </c>
      <c r="K110" s="159">
        <f>MONTH(Tabela1[[#This Row],[Data da Venda]])</f>
        <v>3</v>
      </c>
      <c r="L110" s="159">
        <f>YEAR(Tabela1[[#This Row],[Data da Venda]])</f>
        <v>2013</v>
      </c>
    </row>
    <row r="111" spans="1:12" ht="15" hidden="1" customHeight="1">
      <c r="A111" s="151" t="s">
        <v>420</v>
      </c>
      <c r="B111" s="150" t="s">
        <v>421</v>
      </c>
      <c r="C111" s="155">
        <v>702</v>
      </c>
      <c r="D111" s="155" t="s">
        <v>328</v>
      </c>
      <c r="E111" s="155" t="s">
        <v>340</v>
      </c>
      <c r="F111" s="156">
        <v>41343</v>
      </c>
      <c r="G111" s="156" t="s">
        <v>140</v>
      </c>
      <c r="H111" s="156" t="s">
        <v>32</v>
      </c>
      <c r="I111" s="157">
        <v>455999.99</v>
      </c>
      <c r="J111" s="160">
        <v>1</v>
      </c>
      <c r="K111" s="159">
        <f>MONTH(Tabela1[[#This Row],[Data da Venda]])</f>
        <v>3</v>
      </c>
      <c r="L111" s="159">
        <f>YEAR(Tabela1[[#This Row],[Data da Venda]])</f>
        <v>2013</v>
      </c>
    </row>
    <row r="112" spans="1:12" ht="15" hidden="1" customHeight="1">
      <c r="A112" s="151" t="s">
        <v>420</v>
      </c>
      <c r="B112" s="150" t="s">
        <v>421</v>
      </c>
      <c r="C112" s="155">
        <v>712</v>
      </c>
      <c r="D112" s="155" t="s">
        <v>328</v>
      </c>
      <c r="E112" s="155" t="s">
        <v>340</v>
      </c>
      <c r="F112" s="156">
        <v>41343</v>
      </c>
      <c r="G112" s="156" t="s">
        <v>65</v>
      </c>
      <c r="H112" s="156" t="s">
        <v>25</v>
      </c>
      <c r="I112" s="157">
        <v>186560</v>
      </c>
      <c r="J112" s="158">
        <v>0.5</v>
      </c>
      <c r="K112" s="159">
        <f>MONTH(Tabela1[[#This Row],[Data da Venda]])</f>
        <v>3</v>
      </c>
      <c r="L112" s="159">
        <f>YEAR(Tabela1[[#This Row],[Data da Venda]])</f>
        <v>2013</v>
      </c>
    </row>
    <row r="113" spans="1:12" ht="15" hidden="1" customHeight="1">
      <c r="A113" s="151" t="s">
        <v>420</v>
      </c>
      <c r="B113" s="150" t="s">
        <v>421</v>
      </c>
      <c r="C113" s="155">
        <v>712</v>
      </c>
      <c r="D113" s="155" t="s">
        <v>328</v>
      </c>
      <c r="E113" s="155" t="s">
        <v>340</v>
      </c>
      <c r="F113" s="156">
        <v>41343</v>
      </c>
      <c r="G113" s="156" t="s">
        <v>308</v>
      </c>
      <c r="H113" s="156" t="s">
        <v>26</v>
      </c>
      <c r="I113" s="157">
        <v>186560</v>
      </c>
      <c r="J113" s="158">
        <v>0.5</v>
      </c>
      <c r="K113" s="159">
        <f>MONTH(Tabela1[[#This Row],[Data da Venda]])</f>
        <v>3</v>
      </c>
      <c r="L113" s="159">
        <f>YEAR(Tabela1[[#This Row],[Data da Venda]])</f>
        <v>2013</v>
      </c>
    </row>
    <row r="114" spans="1:12" ht="15" hidden="1" customHeight="1">
      <c r="A114" s="151" t="s">
        <v>420</v>
      </c>
      <c r="B114" s="150" t="s">
        <v>421</v>
      </c>
      <c r="C114" s="155">
        <v>901</v>
      </c>
      <c r="D114" s="155" t="s">
        <v>328</v>
      </c>
      <c r="E114" s="155" t="s">
        <v>340</v>
      </c>
      <c r="F114" s="156">
        <v>41343</v>
      </c>
      <c r="G114" s="156" t="s">
        <v>66</v>
      </c>
      <c r="H114" s="156" t="s">
        <v>26</v>
      </c>
      <c r="I114" s="157">
        <v>418000</v>
      </c>
      <c r="J114" s="158">
        <v>1</v>
      </c>
      <c r="K114" s="159">
        <f>MONTH(Tabela1[[#This Row],[Data da Venda]])</f>
        <v>3</v>
      </c>
      <c r="L114" s="159">
        <f>YEAR(Tabela1[[#This Row],[Data da Venda]])</f>
        <v>2013</v>
      </c>
    </row>
    <row r="115" spans="1:12" ht="15" hidden="1" customHeight="1">
      <c r="A115" s="151" t="s">
        <v>420</v>
      </c>
      <c r="B115" s="150" t="s">
        <v>421</v>
      </c>
      <c r="C115" s="155">
        <v>905</v>
      </c>
      <c r="D115" s="155" t="s">
        <v>328</v>
      </c>
      <c r="E115" s="155" t="s">
        <v>340</v>
      </c>
      <c r="F115" s="156">
        <v>41343</v>
      </c>
      <c r="G115" s="156" t="s">
        <v>224</v>
      </c>
      <c r="H115" s="156" t="s">
        <v>32</v>
      </c>
      <c r="I115" s="157">
        <v>224600</v>
      </c>
      <c r="J115" s="160">
        <v>0.5</v>
      </c>
      <c r="K115" s="159">
        <f>MONTH(Tabela1[[#This Row],[Data da Venda]])</f>
        <v>3</v>
      </c>
      <c r="L115" s="159">
        <f>YEAR(Tabela1[[#This Row],[Data da Venda]])</f>
        <v>2013</v>
      </c>
    </row>
    <row r="116" spans="1:12" ht="15" hidden="1" customHeight="1">
      <c r="A116" s="151" t="s">
        <v>420</v>
      </c>
      <c r="B116" s="150" t="s">
        <v>421</v>
      </c>
      <c r="C116" s="155">
        <v>905</v>
      </c>
      <c r="D116" s="155" t="s">
        <v>328</v>
      </c>
      <c r="E116" s="155" t="s">
        <v>340</v>
      </c>
      <c r="F116" s="156">
        <v>41343</v>
      </c>
      <c r="G116" s="156" t="s">
        <v>197</v>
      </c>
      <c r="H116" s="156" t="s">
        <v>32</v>
      </c>
      <c r="I116" s="157">
        <v>224600</v>
      </c>
      <c r="J116" s="160">
        <v>0.5</v>
      </c>
      <c r="K116" s="159">
        <f>MONTH(Tabela1[[#This Row],[Data da Venda]])</f>
        <v>3</v>
      </c>
      <c r="L116" s="159">
        <f>YEAR(Tabela1[[#This Row],[Data da Venda]])</f>
        <v>2013</v>
      </c>
    </row>
    <row r="117" spans="1:12" ht="15" hidden="1" customHeight="1">
      <c r="A117" s="151" t="s">
        <v>420</v>
      </c>
      <c r="B117" s="150" t="s">
        <v>421</v>
      </c>
      <c r="C117" s="155">
        <v>907</v>
      </c>
      <c r="D117" s="155" t="s">
        <v>328</v>
      </c>
      <c r="E117" s="155" t="s">
        <v>340</v>
      </c>
      <c r="F117" s="156">
        <v>41343</v>
      </c>
      <c r="G117" s="156" t="s">
        <v>313</v>
      </c>
      <c r="H117" s="156" t="s">
        <v>25</v>
      </c>
      <c r="I117" s="157">
        <v>478931.95</v>
      </c>
      <c r="J117" s="158">
        <v>1</v>
      </c>
      <c r="K117" s="159">
        <f>MONTH(Tabela1[[#This Row],[Data da Venda]])</f>
        <v>3</v>
      </c>
      <c r="L117" s="159">
        <f>YEAR(Tabela1[[#This Row],[Data da Venda]])</f>
        <v>2013</v>
      </c>
    </row>
    <row r="118" spans="1:12" ht="15" hidden="1" customHeight="1">
      <c r="A118" s="151" t="s">
        <v>420</v>
      </c>
      <c r="B118" s="150" t="s">
        <v>421</v>
      </c>
      <c r="C118" s="155">
        <v>908</v>
      </c>
      <c r="D118" s="155" t="s">
        <v>328</v>
      </c>
      <c r="E118" s="155" t="s">
        <v>340</v>
      </c>
      <c r="F118" s="156">
        <v>41343</v>
      </c>
      <c r="G118" s="156" t="s">
        <v>313</v>
      </c>
      <c r="H118" s="156" t="s">
        <v>25</v>
      </c>
      <c r="I118" s="157">
        <v>488219.99</v>
      </c>
      <c r="J118" s="158">
        <v>1</v>
      </c>
      <c r="K118" s="159">
        <f>MONTH(Tabela1[[#This Row],[Data da Venda]])</f>
        <v>3</v>
      </c>
      <c r="L118" s="159">
        <f>YEAR(Tabela1[[#This Row],[Data da Venda]])</f>
        <v>2013</v>
      </c>
    </row>
    <row r="119" spans="1:12" ht="15" hidden="1" customHeight="1">
      <c r="A119" s="151" t="s">
        <v>420</v>
      </c>
      <c r="B119" s="150" t="s">
        <v>421</v>
      </c>
      <c r="C119" s="155">
        <v>910</v>
      </c>
      <c r="D119" s="155" t="s">
        <v>328</v>
      </c>
      <c r="E119" s="155" t="s">
        <v>340</v>
      </c>
      <c r="F119" s="156">
        <v>41343</v>
      </c>
      <c r="G119" s="156" t="s">
        <v>45</v>
      </c>
      <c r="H119" s="156" t="s">
        <v>32</v>
      </c>
      <c r="I119" s="157">
        <v>394408.55</v>
      </c>
      <c r="J119" s="160">
        <v>1</v>
      </c>
      <c r="K119" s="159">
        <f>MONTH(Tabela1[[#This Row],[Data da Venda]])</f>
        <v>3</v>
      </c>
      <c r="L119" s="159">
        <f>YEAR(Tabela1[[#This Row],[Data da Venda]])</f>
        <v>2013</v>
      </c>
    </row>
    <row r="120" spans="1:12" ht="15" hidden="1" customHeight="1">
      <c r="A120" s="151" t="s">
        <v>420</v>
      </c>
      <c r="B120" s="150" t="s">
        <v>421</v>
      </c>
      <c r="C120" s="155">
        <v>312</v>
      </c>
      <c r="D120" s="155" t="s">
        <v>328</v>
      </c>
      <c r="E120" s="155" t="s">
        <v>340</v>
      </c>
      <c r="F120" s="156">
        <v>41343</v>
      </c>
      <c r="G120" s="156" t="s">
        <v>257</v>
      </c>
      <c r="H120" s="156" t="s">
        <v>24</v>
      </c>
      <c r="I120" s="157">
        <v>193680</v>
      </c>
      <c r="J120" s="160">
        <v>0.5</v>
      </c>
      <c r="K120" s="159">
        <f>MONTH(Tabela1[[#This Row],[Data da Venda]])</f>
        <v>3</v>
      </c>
      <c r="L120" s="159">
        <f>YEAR(Tabela1[[#This Row],[Data da Venda]])</f>
        <v>2013</v>
      </c>
    </row>
    <row r="121" spans="1:12" ht="15" hidden="1" customHeight="1">
      <c r="A121" s="151" t="s">
        <v>420</v>
      </c>
      <c r="B121" s="150" t="s">
        <v>421</v>
      </c>
      <c r="C121" s="155">
        <v>911</v>
      </c>
      <c r="D121" s="155" t="s">
        <v>328</v>
      </c>
      <c r="E121" s="155" t="s">
        <v>340</v>
      </c>
      <c r="F121" s="156">
        <v>41343</v>
      </c>
      <c r="G121" s="156" t="s">
        <v>71</v>
      </c>
      <c r="H121" s="156" t="s">
        <v>24</v>
      </c>
      <c r="I121" s="157">
        <v>237500</v>
      </c>
      <c r="J121" s="160">
        <v>0.5</v>
      </c>
      <c r="K121" s="159">
        <f>MONTH(Tabela1[[#This Row],[Data da Venda]])</f>
        <v>3</v>
      </c>
      <c r="L121" s="159">
        <f>YEAR(Tabela1[[#This Row],[Data da Venda]])</f>
        <v>2013</v>
      </c>
    </row>
    <row r="122" spans="1:12" ht="15" hidden="1" customHeight="1">
      <c r="A122" s="151" t="s">
        <v>420</v>
      </c>
      <c r="B122" s="150" t="s">
        <v>421</v>
      </c>
      <c r="C122" s="155">
        <v>912</v>
      </c>
      <c r="D122" s="155" t="s">
        <v>328</v>
      </c>
      <c r="E122" s="155" t="s">
        <v>340</v>
      </c>
      <c r="F122" s="156">
        <v>41343</v>
      </c>
      <c r="G122" s="156" t="s">
        <v>66</v>
      </c>
      <c r="H122" s="156" t="s">
        <v>26</v>
      </c>
      <c r="I122" s="157">
        <v>418000</v>
      </c>
      <c r="J122" s="158">
        <v>1</v>
      </c>
      <c r="K122" s="159">
        <f>MONTH(Tabela1[[#This Row],[Data da Venda]])</f>
        <v>3</v>
      </c>
      <c r="L122" s="159">
        <f>YEAR(Tabela1[[#This Row],[Data da Venda]])</f>
        <v>2013</v>
      </c>
    </row>
    <row r="123" spans="1:12" ht="15" hidden="1" customHeight="1">
      <c r="A123" s="151" t="s">
        <v>420</v>
      </c>
      <c r="B123" s="150" t="s">
        <v>421</v>
      </c>
      <c r="C123" s="155">
        <v>1101</v>
      </c>
      <c r="D123" s="155" t="s">
        <v>328</v>
      </c>
      <c r="E123" s="155" t="s">
        <v>340</v>
      </c>
      <c r="F123" s="156">
        <v>41343</v>
      </c>
      <c r="G123" s="156" t="s">
        <v>49</v>
      </c>
      <c r="H123" s="156" t="s">
        <v>23</v>
      </c>
      <c r="I123" s="157">
        <v>458010.29</v>
      </c>
      <c r="J123" s="160">
        <v>1</v>
      </c>
      <c r="K123" s="159">
        <f>MONTH(Tabela1[[#This Row],[Data da Venda]])</f>
        <v>3</v>
      </c>
      <c r="L123" s="159">
        <f>YEAR(Tabela1[[#This Row],[Data da Venda]])</f>
        <v>2013</v>
      </c>
    </row>
    <row r="124" spans="1:12" ht="15" hidden="1" customHeight="1">
      <c r="A124" s="151" t="s">
        <v>420</v>
      </c>
      <c r="B124" s="150" t="s">
        <v>421</v>
      </c>
      <c r="C124" s="155">
        <v>1102</v>
      </c>
      <c r="D124" s="155" t="s">
        <v>328</v>
      </c>
      <c r="E124" s="155" t="s">
        <v>340</v>
      </c>
      <c r="F124" s="156">
        <v>41343</v>
      </c>
      <c r="G124" s="156" t="s">
        <v>66</v>
      </c>
      <c r="H124" s="156" t="s">
        <v>26</v>
      </c>
      <c r="I124" s="157">
        <v>497678.49</v>
      </c>
      <c r="J124" s="158">
        <v>1</v>
      </c>
      <c r="K124" s="159">
        <f>MONTH(Tabela1[[#This Row],[Data da Venda]])</f>
        <v>3</v>
      </c>
      <c r="L124" s="159">
        <f>YEAR(Tabela1[[#This Row],[Data da Venda]])</f>
        <v>2013</v>
      </c>
    </row>
    <row r="125" spans="1:12" ht="15" hidden="1" customHeight="1">
      <c r="A125" s="151" t="s">
        <v>420</v>
      </c>
      <c r="B125" s="150" t="s">
        <v>421</v>
      </c>
      <c r="C125" s="155">
        <v>1103</v>
      </c>
      <c r="D125" s="155" t="s">
        <v>328</v>
      </c>
      <c r="E125" s="155" t="s">
        <v>340</v>
      </c>
      <c r="F125" s="156">
        <v>41343</v>
      </c>
      <c r="G125" s="156" t="s">
        <v>66</v>
      </c>
      <c r="H125" s="156" t="s">
        <v>26</v>
      </c>
      <c r="I125" s="157">
        <v>481962.14</v>
      </c>
      <c r="J125" s="158">
        <v>1</v>
      </c>
      <c r="K125" s="159">
        <f>MONTH(Tabela1[[#This Row],[Data da Venda]])</f>
        <v>3</v>
      </c>
      <c r="L125" s="159">
        <f>YEAR(Tabela1[[#This Row],[Data da Venda]])</f>
        <v>2013</v>
      </c>
    </row>
    <row r="126" spans="1:12" ht="15" hidden="1" customHeight="1">
      <c r="A126" s="151" t="s">
        <v>420</v>
      </c>
      <c r="B126" s="150" t="s">
        <v>421</v>
      </c>
      <c r="C126" s="155">
        <v>1104</v>
      </c>
      <c r="D126" s="155" t="s">
        <v>328</v>
      </c>
      <c r="E126" s="155" t="s">
        <v>340</v>
      </c>
      <c r="F126" s="156">
        <v>41343</v>
      </c>
      <c r="G126" s="156" t="s">
        <v>63</v>
      </c>
      <c r="H126" s="156" t="s">
        <v>25</v>
      </c>
      <c r="I126" s="157">
        <v>481976.8</v>
      </c>
      <c r="J126" s="158">
        <v>1</v>
      </c>
      <c r="K126" s="159">
        <f>MONTH(Tabela1[[#This Row],[Data da Venda]])</f>
        <v>3</v>
      </c>
      <c r="L126" s="159">
        <f>YEAR(Tabela1[[#This Row],[Data da Venda]])</f>
        <v>2013</v>
      </c>
    </row>
    <row r="127" spans="1:12" ht="15" hidden="1" customHeight="1">
      <c r="A127" s="151" t="s">
        <v>420</v>
      </c>
      <c r="B127" s="150" t="s">
        <v>421</v>
      </c>
      <c r="C127" s="155">
        <v>1112</v>
      </c>
      <c r="D127" s="155" t="s">
        <v>328</v>
      </c>
      <c r="E127" s="155" t="s">
        <v>340</v>
      </c>
      <c r="F127" s="156">
        <v>41343</v>
      </c>
      <c r="G127" s="156" t="s">
        <v>49</v>
      </c>
      <c r="H127" s="156" t="s">
        <v>23</v>
      </c>
      <c r="I127" s="157">
        <v>458010.29</v>
      </c>
      <c r="J127" s="160">
        <v>1</v>
      </c>
      <c r="K127" s="159">
        <f>MONTH(Tabela1[[#This Row],[Data da Venda]])</f>
        <v>3</v>
      </c>
      <c r="L127" s="159">
        <f>YEAR(Tabela1[[#This Row],[Data da Venda]])</f>
        <v>2013</v>
      </c>
    </row>
    <row r="128" spans="1:12" ht="15" hidden="1" customHeight="1">
      <c r="A128" s="151" t="s">
        <v>420</v>
      </c>
      <c r="B128" s="150" t="s">
        <v>421</v>
      </c>
      <c r="C128" s="155">
        <v>1409</v>
      </c>
      <c r="D128" s="155" t="s">
        <v>328</v>
      </c>
      <c r="E128" s="155" t="s">
        <v>340</v>
      </c>
      <c r="F128" s="156">
        <v>41343</v>
      </c>
      <c r="G128" s="156" t="s">
        <v>22</v>
      </c>
      <c r="H128" s="156" t="s">
        <v>23</v>
      </c>
      <c r="I128" s="157">
        <v>408133.8</v>
      </c>
      <c r="J128" s="160">
        <v>1</v>
      </c>
      <c r="K128" s="159">
        <f>MONTH(Tabela1[[#This Row],[Data da Venda]])</f>
        <v>3</v>
      </c>
      <c r="L128" s="159">
        <f>YEAR(Tabela1[[#This Row],[Data da Venda]])</f>
        <v>2013</v>
      </c>
    </row>
    <row r="129" spans="1:12" ht="15" hidden="1" customHeight="1">
      <c r="A129" s="151" t="s">
        <v>420</v>
      </c>
      <c r="B129" s="150" t="s">
        <v>421</v>
      </c>
      <c r="C129" s="155">
        <v>1410</v>
      </c>
      <c r="D129" s="155" t="s">
        <v>328</v>
      </c>
      <c r="E129" s="155" t="s">
        <v>340</v>
      </c>
      <c r="F129" s="156">
        <v>41343</v>
      </c>
      <c r="G129" s="156" t="s">
        <v>22</v>
      </c>
      <c r="H129" s="156" t="s">
        <v>23</v>
      </c>
      <c r="I129" s="157">
        <v>482283.98</v>
      </c>
      <c r="J129" s="160">
        <v>1</v>
      </c>
      <c r="K129" s="159">
        <f>MONTH(Tabela1[[#This Row],[Data da Venda]])</f>
        <v>3</v>
      </c>
      <c r="L129" s="159">
        <f>YEAR(Tabela1[[#This Row],[Data da Venda]])</f>
        <v>2013</v>
      </c>
    </row>
    <row r="130" spans="1:12" ht="15" hidden="1" customHeight="1">
      <c r="A130" s="151" t="s">
        <v>420</v>
      </c>
      <c r="B130" s="150" t="s">
        <v>421</v>
      </c>
      <c r="C130" s="155">
        <v>1411</v>
      </c>
      <c r="D130" s="155" t="s">
        <v>328</v>
      </c>
      <c r="E130" s="155" t="s">
        <v>340</v>
      </c>
      <c r="F130" s="156">
        <v>41343</v>
      </c>
      <c r="G130" s="156" t="s">
        <v>64</v>
      </c>
      <c r="H130" s="156" t="s">
        <v>25</v>
      </c>
      <c r="I130" s="157">
        <v>504570</v>
      </c>
      <c r="J130" s="158">
        <v>1</v>
      </c>
      <c r="K130" s="159">
        <f>MONTH(Tabela1[[#This Row],[Data da Venda]])</f>
        <v>3</v>
      </c>
      <c r="L130" s="159">
        <f>YEAR(Tabela1[[#This Row],[Data da Venda]])</f>
        <v>2013</v>
      </c>
    </row>
    <row r="131" spans="1:12" ht="15" hidden="1" customHeight="1">
      <c r="A131" s="151" t="s">
        <v>420</v>
      </c>
      <c r="B131" s="150" t="s">
        <v>421</v>
      </c>
      <c r="C131" s="155">
        <v>911</v>
      </c>
      <c r="D131" s="155" t="s">
        <v>328</v>
      </c>
      <c r="E131" s="155" t="s">
        <v>340</v>
      </c>
      <c r="F131" s="156">
        <v>41343</v>
      </c>
      <c r="G131" s="156" t="s">
        <v>307</v>
      </c>
      <c r="H131" s="156" t="s">
        <v>24</v>
      </c>
      <c r="I131" s="157">
        <v>237500</v>
      </c>
      <c r="J131" s="160">
        <v>0.5</v>
      </c>
      <c r="K131" s="159">
        <f>MONTH(Tabela1[[#This Row],[Data da Venda]])</f>
        <v>3</v>
      </c>
      <c r="L131" s="159">
        <f>YEAR(Tabela1[[#This Row],[Data da Venda]])</f>
        <v>2013</v>
      </c>
    </row>
    <row r="132" spans="1:12" ht="15" hidden="1" customHeight="1">
      <c r="A132" s="151" t="s">
        <v>420</v>
      </c>
      <c r="B132" s="150" t="s">
        <v>421</v>
      </c>
      <c r="C132" s="155" t="s">
        <v>240</v>
      </c>
      <c r="D132" s="155" t="s">
        <v>328</v>
      </c>
      <c r="E132" s="155" t="s">
        <v>340</v>
      </c>
      <c r="F132" s="156">
        <v>41343</v>
      </c>
      <c r="G132" s="156" t="s">
        <v>312</v>
      </c>
      <c r="H132" s="156" t="s">
        <v>24</v>
      </c>
      <c r="I132" s="157">
        <v>1438921</v>
      </c>
      <c r="J132" s="160">
        <v>3</v>
      </c>
      <c r="K132" s="159">
        <f>MONTH(Tabela1[[#This Row],[Data da Venda]])</f>
        <v>3</v>
      </c>
      <c r="L132" s="159">
        <f>YEAR(Tabela1[[#This Row],[Data da Venda]])</f>
        <v>2013</v>
      </c>
    </row>
    <row r="133" spans="1:12" ht="15" hidden="1" customHeight="1">
      <c r="A133" s="151" t="s">
        <v>420</v>
      </c>
      <c r="B133" s="150" t="s">
        <v>421</v>
      </c>
      <c r="C133" s="155" t="s">
        <v>241</v>
      </c>
      <c r="D133" s="155" t="s">
        <v>328</v>
      </c>
      <c r="E133" s="155" t="s">
        <v>340</v>
      </c>
      <c r="F133" s="156">
        <v>41343</v>
      </c>
      <c r="G133" s="156" t="s">
        <v>72</v>
      </c>
      <c r="H133" s="156" t="s">
        <v>24</v>
      </c>
      <c r="I133" s="157">
        <f>488425+488425</f>
        <v>976850</v>
      </c>
      <c r="J133" s="160">
        <v>2</v>
      </c>
      <c r="K133" s="159">
        <f>MONTH(Tabela1[[#This Row],[Data da Venda]])</f>
        <v>3</v>
      </c>
      <c r="L133" s="159">
        <f>YEAR(Tabela1[[#This Row],[Data da Venda]])</f>
        <v>2013</v>
      </c>
    </row>
    <row r="134" spans="1:12" ht="15" hidden="1" customHeight="1">
      <c r="A134" s="151" t="s">
        <v>420</v>
      </c>
      <c r="B134" s="150" t="s">
        <v>421</v>
      </c>
      <c r="C134" s="155" t="s">
        <v>222</v>
      </c>
      <c r="D134" s="155" t="s">
        <v>328</v>
      </c>
      <c r="E134" s="155" t="s">
        <v>340</v>
      </c>
      <c r="F134" s="156">
        <v>41343</v>
      </c>
      <c r="G134" s="156" t="s">
        <v>41</v>
      </c>
      <c r="H134" s="156" t="s">
        <v>27</v>
      </c>
      <c r="I134" s="157">
        <v>430848.08</v>
      </c>
      <c r="J134" s="160">
        <v>1</v>
      </c>
      <c r="K134" s="159">
        <f>MONTH(Tabela1[[#This Row],[Data da Venda]])</f>
        <v>3</v>
      </c>
      <c r="L134" s="159">
        <f>YEAR(Tabela1[[#This Row],[Data da Venda]])</f>
        <v>2013</v>
      </c>
    </row>
    <row r="135" spans="1:12" ht="15" hidden="1" customHeight="1">
      <c r="A135" s="151" t="s">
        <v>420</v>
      </c>
      <c r="B135" s="150" t="s">
        <v>421</v>
      </c>
      <c r="C135" s="155" t="s">
        <v>222</v>
      </c>
      <c r="D135" s="155" t="s">
        <v>328</v>
      </c>
      <c r="E135" s="155" t="s">
        <v>340</v>
      </c>
      <c r="F135" s="156">
        <v>41343</v>
      </c>
      <c r="G135" s="156" t="s">
        <v>42</v>
      </c>
      <c r="H135" s="156" t="s">
        <v>27</v>
      </c>
      <c r="I135" s="157">
        <v>430848.08</v>
      </c>
      <c r="J135" s="160">
        <v>1</v>
      </c>
      <c r="K135" s="159">
        <f>MONTH(Tabela1[[#This Row],[Data da Venda]])</f>
        <v>3</v>
      </c>
      <c r="L135" s="159">
        <f>YEAR(Tabela1[[#This Row],[Data da Venda]])</f>
        <v>2013</v>
      </c>
    </row>
    <row r="136" spans="1:12" ht="15" hidden="1" customHeight="1">
      <c r="A136" s="151" t="s">
        <v>420</v>
      </c>
      <c r="B136" s="150" t="s">
        <v>421</v>
      </c>
      <c r="C136" s="155" t="s">
        <v>228</v>
      </c>
      <c r="D136" s="155" t="s">
        <v>328</v>
      </c>
      <c r="E136" s="155" t="s">
        <v>340</v>
      </c>
      <c r="F136" s="156">
        <v>41343</v>
      </c>
      <c r="G136" s="156" t="s">
        <v>75</v>
      </c>
      <c r="H136" s="156" t="s">
        <v>27</v>
      </c>
      <c r="I136" s="157">
        <f>457981.23+457981.23</f>
        <v>915962.46</v>
      </c>
      <c r="J136" s="160">
        <v>2</v>
      </c>
      <c r="K136" s="159">
        <f>MONTH(Tabela1[[#This Row],[Data da Venda]])</f>
        <v>3</v>
      </c>
      <c r="L136" s="159">
        <f>YEAR(Tabela1[[#This Row],[Data da Venda]])</f>
        <v>2013</v>
      </c>
    </row>
    <row r="137" spans="1:12" ht="15" hidden="1" customHeight="1">
      <c r="A137" s="151" t="s">
        <v>420</v>
      </c>
      <c r="B137" s="150" t="s">
        <v>421</v>
      </c>
      <c r="C137" s="155" t="s">
        <v>232</v>
      </c>
      <c r="D137" s="155" t="s">
        <v>328</v>
      </c>
      <c r="E137" s="155" t="s">
        <v>340</v>
      </c>
      <c r="F137" s="156">
        <v>41343</v>
      </c>
      <c r="G137" s="156" t="s">
        <v>155</v>
      </c>
      <c r="H137" s="156" t="s">
        <v>27</v>
      </c>
      <c r="I137" s="157">
        <v>887037.54</v>
      </c>
      <c r="J137" s="160">
        <v>2</v>
      </c>
      <c r="K137" s="159">
        <f>MONTH(Tabela1[[#This Row],[Data da Venda]])</f>
        <v>3</v>
      </c>
      <c r="L137" s="159">
        <f>YEAR(Tabela1[[#This Row],[Data da Venda]])</f>
        <v>2013</v>
      </c>
    </row>
    <row r="138" spans="1:12" ht="15" hidden="1" customHeight="1">
      <c r="A138" s="151" t="s">
        <v>420</v>
      </c>
      <c r="B138" s="150" t="s">
        <v>421</v>
      </c>
      <c r="C138" s="155" t="s">
        <v>223</v>
      </c>
      <c r="D138" s="155" t="s">
        <v>328</v>
      </c>
      <c r="E138" s="155" t="s">
        <v>340</v>
      </c>
      <c r="F138" s="156">
        <v>41343</v>
      </c>
      <c r="G138" s="156" t="s">
        <v>70</v>
      </c>
      <c r="H138" s="156" t="s">
        <v>24</v>
      </c>
      <c r="I138" s="157">
        <f>407780+432768.95+496455.36+487088.21</f>
        <v>1824092.52</v>
      </c>
      <c r="J138" s="160">
        <v>4</v>
      </c>
      <c r="K138" s="159">
        <f>MONTH(Tabela1[[#This Row],[Data da Venda]])</f>
        <v>3</v>
      </c>
      <c r="L138" s="159">
        <f>YEAR(Tabela1[[#This Row],[Data da Venda]])</f>
        <v>2013</v>
      </c>
    </row>
    <row r="139" spans="1:12" ht="15" hidden="1" customHeight="1">
      <c r="A139" s="151" t="s">
        <v>420</v>
      </c>
      <c r="B139" s="150" t="s">
        <v>421</v>
      </c>
      <c r="C139" s="155" t="s">
        <v>229</v>
      </c>
      <c r="D139" s="155" t="s">
        <v>328</v>
      </c>
      <c r="E139" s="155" t="s">
        <v>340</v>
      </c>
      <c r="F139" s="156">
        <v>41343</v>
      </c>
      <c r="G139" s="156" t="s">
        <v>194</v>
      </c>
      <c r="H139" s="156" t="s">
        <v>27</v>
      </c>
      <c r="I139" s="157">
        <f>472511.95+472511.95</f>
        <v>945023.9</v>
      </c>
      <c r="J139" s="160">
        <v>2</v>
      </c>
      <c r="K139" s="159">
        <f>MONTH(Tabela1[[#This Row],[Data da Venda]])</f>
        <v>3</v>
      </c>
      <c r="L139" s="159">
        <f>YEAR(Tabela1[[#This Row],[Data da Venda]])</f>
        <v>2013</v>
      </c>
    </row>
    <row r="140" spans="1:12" ht="15" hidden="1" customHeight="1">
      <c r="A140" s="151" t="s">
        <v>420</v>
      </c>
      <c r="B140" s="150" t="s">
        <v>421</v>
      </c>
      <c r="C140" s="155" t="s">
        <v>234</v>
      </c>
      <c r="D140" s="155" t="s">
        <v>328</v>
      </c>
      <c r="E140" s="155" t="s">
        <v>340</v>
      </c>
      <c r="F140" s="156">
        <v>41343</v>
      </c>
      <c r="G140" s="156" t="s">
        <v>196</v>
      </c>
      <c r="H140" s="156" t="s">
        <v>24</v>
      </c>
      <c r="I140" s="157">
        <v>5918632.2400000002</v>
      </c>
      <c r="J140" s="160">
        <v>12</v>
      </c>
      <c r="K140" s="159">
        <f>MONTH(Tabela1[[#This Row],[Data da Venda]])</f>
        <v>3</v>
      </c>
      <c r="L140" s="159">
        <f>YEAR(Tabela1[[#This Row],[Data da Venda]])</f>
        <v>2013</v>
      </c>
    </row>
    <row r="141" spans="1:12" ht="15" hidden="1" customHeight="1">
      <c r="A141" s="149" t="s">
        <v>433</v>
      </c>
      <c r="B141" s="150" t="s">
        <v>434</v>
      </c>
      <c r="C141" s="155">
        <v>181</v>
      </c>
      <c r="D141" s="155" t="s">
        <v>328</v>
      </c>
      <c r="E141" s="155" t="s">
        <v>339</v>
      </c>
      <c r="F141" s="156">
        <v>41344</v>
      </c>
      <c r="G141" s="156" t="s">
        <v>309</v>
      </c>
      <c r="H141" s="156" t="s">
        <v>26</v>
      </c>
      <c r="I141" s="157">
        <v>2050000</v>
      </c>
      <c r="J141" s="158">
        <v>1</v>
      </c>
      <c r="K141" s="159">
        <f>MONTH(Tabela1[[#This Row],[Data da Venda]])</f>
        <v>3</v>
      </c>
      <c r="L141" s="159">
        <f>YEAR(Tabela1[[#This Row],[Data da Venda]])</f>
        <v>2013</v>
      </c>
    </row>
    <row r="142" spans="1:12" ht="15" hidden="1" customHeight="1">
      <c r="A142" s="151" t="s">
        <v>420</v>
      </c>
      <c r="B142" s="150" t="s">
        <v>421</v>
      </c>
      <c r="C142" s="155">
        <v>112</v>
      </c>
      <c r="D142" s="155" t="s">
        <v>328</v>
      </c>
      <c r="E142" s="155" t="s">
        <v>340</v>
      </c>
      <c r="F142" s="156">
        <v>41344</v>
      </c>
      <c r="G142" s="156" t="s">
        <v>68</v>
      </c>
      <c r="H142" s="156" t="s">
        <v>26</v>
      </c>
      <c r="I142" s="157">
        <v>429696.14</v>
      </c>
      <c r="J142" s="158">
        <v>1</v>
      </c>
      <c r="K142" s="159">
        <f>MONTH(Tabela1[[#This Row],[Data da Venda]])</f>
        <v>3</v>
      </c>
      <c r="L142" s="159">
        <f>YEAR(Tabela1[[#This Row],[Data da Venda]])</f>
        <v>2013</v>
      </c>
    </row>
    <row r="143" spans="1:12" ht="15" hidden="1" customHeight="1">
      <c r="A143" s="151" t="s">
        <v>420</v>
      </c>
      <c r="B143" s="150" t="s">
        <v>421</v>
      </c>
      <c r="C143" s="155">
        <v>404</v>
      </c>
      <c r="D143" s="155" t="s">
        <v>329</v>
      </c>
      <c r="E143" s="155" t="s">
        <v>340</v>
      </c>
      <c r="F143" s="156">
        <v>41344</v>
      </c>
      <c r="G143" s="156" t="s">
        <v>465</v>
      </c>
      <c r="H143" s="156" t="s">
        <v>33</v>
      </c>
      <c r="I143" s="157">
        <v>400378.48</v>
      </c>
      <c r="J143" s="158">
        <v>1</v>
      </c>
      <c r="K143" s="159">
        <f>MONTH(Tabela1[[#This Row],[Data da Venda]])</f>
        <v>3</v>
      </c>
      <c r="L143" s="159">
        <f>YEAR(Tabela1[[#This Row],[Data da Venda]])</f>
        <v>2013</v>
      </c>
    </row>
    <row r="144" spans="1:12" ht="15" hidden="1" customHeight="1">
      <c r="A144" s="151" t="s">
        <v>420</v>
      </c>
      <c r="B144" s="150" t="s">
        <v>421</v>
      </c>
      <c r="C144" s="155">
        <v>405</v>
      </c>
      <c r="D144" s="155" t="s">
        <v>329</v>
      </c>
      <c r="E144" s="155" t="s">
        <v>340</v>
      </c>
      <c r="F144" s="156">
        <v>41344</v>
      </c>
      <c r="G144" s="156" t="s">
        <v>465</v>
      </c>
      <c r="H144" s="156" t="s">
        <v>33</v>
      </c>
      <c r="I144" s="157">
        <v>413528.75</v>
      </c>
      <c r="J144" s="158">
        <v>1</v>
      </c>
      <c r="K144" s="159">
        <f>MONTH(Tabela1[[#This Row],[Data da Venda]])</f>
        <v>3</v>
      </c>
      <c r="L144" s="159">
        <f>YEAR(Tabela1[[#This Row],[Data da Venda]])</f>
        <v>2013</v>
      </c>
    </row>
    <row r="145" spans="1:12" ht="15" hidden="1" customHeight="1">
      <c r="A145" s="151" t="s">
        <v>420</v>
      </c>
      <c r="B145" s="150" t="s">
        <v>421</v>
      </c>
      <c r="C145" s="155">
        <v>406</v>
      </c>
      <c r="D145" s="155" t="s">
        <v>329</v>
      </c>
      <c r="E145" s="155" t="s">
        <v>340</v>
      </c>
      <c r="F145" s="156">
        <v>41344</v>
      </c>
      <c r="G145" s="156" t="s">
        <v>465</v>
      </c>
      <c r="H145" s="156" t="s">
        <v>33</v>
      </c>
      <c r="I145" s="157">
        <v>405845.16</v>
      </c>
      <c r="J145" s="158">
        <v>1</v>
      </c>
      <c r="K145" s="159">
        <f>MONTH(Tabela1[[#This Row],[Data da Venda]])</f>
        <v>3</v>
      </c>
      <c r="L145" s="159">
        <f>YEAR(Tabela1[[#This Row],[Data da Venda]])</f>
        <v>2013</v>
      </c>
    </row>
    <row r="146" spans="1:12" ht="15" hidden="1" customHeight="1">
      <c r="A146" s="151" t="s">
        <v>420</v>
      </c>
      <c r="B146" s="150" t="s">
        <v>421</v>
      </c>
      <c r="C146" s="155">
        <v>407</v>
      </c>
      <c r="D146" s="155" t="s">
        <v>329</v>
      </c>
      <c r="E146" s="155" t="s">
        <v>340</v>
      </c>
      <c r="F146" s="156">
        <v>41344</v>
      </c>
      <c r="G146" s="156" t="s">
        <v>465</v>
      </c>
      <c r="H146" s="156" t="s">
        <v>33</v>
      </c>
      <c r="I146" s="157">
        <v>408516.96</v>
      </c>
      <c r="J146" s="158">
        <v>1</v>
      </c>
      <c r="K146" s="159">
        <f>MONTH(Tabela1[[#This Row],[Data da Venda]])</f>
        <v>3</v>
      </c>
      <c r="L146" s="159">
        <f>YEAR(Tabela1[[#This Row],[Data da Venda]])</f>
        <v>2013</v>
      </c>
    </row>
    <row r="147" spans="1:12" ht="15" hidden="1" customHeight="1">
      <c r="A147" s="151" t="s">
        <v>420</v>
      </c>
      <c r="B147" s="150" t="s">
        <v>421</v>
      </c>
      <c r="C147" s="155">
        <v>608</v>
      </c>
      <c r="D147" s="155" t="s">
        <v>328</v>
      </c>
      <c r="E147" s="155" t="s">
        <v>340</v>
      </c>
      <c r="F147" s="156">
        <v>41344</v>
      </c>
      <c r="G147" s="156" t="s">
        <v>309</v>
      </c>
      <c r="H147" s="156" t="s">
        <v>26</v>
      </c>
      <c r="I147" s="157">
        <v>446880.01</v>
      </c>
      <c r="J147" s="158">
        <v>1</v>
      </c>
      <c r="K147" s="159">
        <f>MONTH(Tabela1[[#This Row],[Data da Venda]])</f>
        <v>3</v>
      </c>
      <c r="L147" s="159">
        <f>YEAR(Tabela1[[#This Row],[Data da Venda]])</f>
        <v>2013</v>
      </c>
    </row>
    <row r="148" spans="1:12" ht="15" hidden="1" customHeight="1">
      <c r="A148" s="151" t="s">
        <v>420</v>
      </c>
      <c r="B148" s="150" t="s">
        <v>421</v>
      </c>
      <c r="C148" s="155">
        <v>611</v>
      </c>
      <c r="D148" s="155" t="s">
        <v>328</v>
      </c>
      <c r="E148" s="155" t="s">
        <v>340</v>
      </c>
      <c r="F148" s="156">
        <v>41344</v>
      </c>
      <c r="G148" s="156" t="s">
        <v>218</v>
      </c>
      <c r="H148" s="156" t="s">
        <v>26</v>
      </c>
      <c r="I148" s="157">
        <v>391134.97</v>
      </c>
      <c r="J148" s="158">
        <v>1</v>
      </c>
      <c r="K148" s="159">
        <f>MONTH(Tabela1[[#This Row],[Data da Venda]])</f>
        <v>3</v>
      </c>
      <c r="L148" s="159">
        <f>YEAR(Tabela1[[#This Row],[Data da Venda]])</f>
        <v>2013</v>
      </c>
    </row>
    <row r="149" spans="1:12" ht="15" hidden="1" customHeight="1">
      <c r="A149" s="151" t="s">
        <v>420</v>
      </c>
      <c r="B149" s="150" t="s">
        <v>421</v>
      </c>
      <c r="C149" s="155">
        <v>906</v>
      </c>
      <c r="D149" s="155" t="s">
        <v>328</v>
      </c>
      <c r="E149" s="155" t="s">
        <v>340</v>
      </c>
      <c r="F149" s="156">
        <v>41344</v>
      </c>
      <c r="G149" s="156" t="s">
        <v>67</v>
      </c>
      <c r="H149" s="156" t="s">
        <v>26</v>
      </c>
      <c r="I149" s="157">
        <v>218500</v>
      </c>
      <c r="J149" s="158">
        <v>0.5</v>
      </c>
      <c r="K149" s="159">
        <f>MONTH(Tabela1[[#This Row],[Data da Venda]])</f>
        <v>3</v>
      </c>
      <c r="L149" s="159">
        <f>YEAR(Tabela1[[#This Row],[Data da Venda]])</f>
        <v>2013</v>
      </c>
    </row>
    <row r="150" spans="1:12" ht="15" hidden="1" customHeight="1">
      <c r="A150" s="151" t="s">
        <v>420</v>
      </c>
      <c r="B150" s="150" t="s">
        <v>421</v>
      </c>
      <c r="C150" s="155">
        <v>906</v>
      </c>
      <c r="D150" s="155" t="s">
        <v>328</v>
      </c>
      <c r="E150" s="155" t="s">
        <v>340</v>
      </c>
      <c r="F150" s="156">
        <v>41344</v>
      </c>
      <c r="G150" s="156" t="s">
        <v>309</v>
      </c>
      <c r="H150" s="156" t="s">
        <v>26</v>
      </c>
      <c r="I150" s="157">
        <v>218500</v>
      </c>
      <c r="J150" s="158">
        <v>0.5</v>
      </c>
      <c r="K150" s="159">
        <f>MONTH(Tabela1[[#This Row],[Data da Venda]])</f>
        <v>3</v>
      </c>
      <c r="L150" s="159">
        <f>YEAR(Tabela1[[#This Row],[Data da Venda]])</f>
        <v>2013</v>
      </c>
    </row>
    <row r="151" spans="1:12" ht="15" hidden="1" customHeight="1">
      <c r="A151" s="151" t="s">
        <v>420</v>
      </c>
      <c r="B151" s="150" t="s">
        <v>421</v>
      </c>
      <c r="C151" s="155">
        <v>1107</v>
      </c>
      <c r="D151" s="155" t="s">
        <v>328</v>
      </c>
      <c r="E151" s="155" t="s">
        <v>340</v>
      </c>
      <c r="F151" s="156">
        <v>41344</v>
      </c>
      <c r="G151" s="156" t="s">
        <v>309</v>
      </c>
      <c r="H151" s="156" t="s">
        <v>26</v>
      </c>
      <c r="I151" s="157">
        <v>407269.77</v>
      </c>
      <c r="J151" s="158">
        <v>1</v>
      </c>
      <c r="K151" s="159">
        <f>MONTH(Tabela1[[#This Row],[Data da Venda]])</f>
        <v>3</v>
      </c>
      <c r="L151" s="159">
        <f>YEAR(Tabela1[[#This Row],[Data da Venda]])</f>
        <v>2013</v>
      </c>
    </row>
    <row r="152" spans="1:12" ht="15" hidden="1" customHeight="1">
      <c r="A152" s="151" t="s">
        <v>420</v>
      </c>
      <c r="B152" s="150" t="s">
        <v>421</v>
      </c>
      <c r="C152" s="155">
        <v>1401</v>
      </c>
      <c r="D152" s="155" t="s">
        <v>329</v>
      </c>
      <c r="E152" s="155" t="s">
        <v>340</v>
      </c>
      <c r="F152" s="156">
        <v>41344</v>
      </c>
      <c r="G152" s="156" t="s">
        <v>465</v>
      </c>
      <c r="H152" s="156" t="s">
        <v>33</v>
      </c>
      <c r="I152" s="157">
        <v>456572.4</v>
      </c>
      <c r="J152" s="158">
        <v>1</v>
      </c>
      <c r="K152" s="159">
        <f>MONTH(Tabela1[[#This Row],[Data da Venda]])</f>
        <v>3</v>
      </c>
      <c r="L152" s="159">
        <f>YEAR(Tabela1[[#This Row],[Data da Venda]])</f>
        <v>2013</v>
      </c>
    </row>
    <row r="153" spans="1:12" ht="15" hidden="1" customHeight="1">
      <c r="A153" s="151" t="s">
        <v>420</v>
      </c>
      <c r="B153" s="150" t="s">
        <v>421</v>
      </c>
      <c r="C153" s="155">
        <v>1402</v>
      </c>
      <c r="D153" s="155" t="s">
        <v>329</v>
      </c>
      <c r="E153" s="155" t="s">
        <v>340</v>
      </c>
      <c r="F153" s="156">
        <v>41344</v>
      </c>
      <c r="G153" s="156" t="s">
        <v>465</v>
      </c>
      <c r="H153" s="156" t="s">
        <v>33</v>
      </c>
      <c r="I153" s="157">
        <v>465445.9</v>
      </c>
      <c r="J153" s="158">
        <v>1</v>
      </c>
      <c r="K153" s="159">
        <f>MONTH(Tabela1[[#This Row],[Data da Venda]])</f>
        <v>3</v>
      </c>
      <c r="L153" s="159">
        <f>YEAR(Tabela1[[#This Row],[Data da Venda]])</f>
        <v>2013</v>
      </c>
    </row>
    <row r="154" spans="1:12" ht="15" hidden="1" customHeight="1">
      <c r="A154" s="151" t="s">
        <v>420</v>
      </c>
      <c r="B154" s="150" t="s">
        <v>421</v>
      </c>
      <c r="C154" s="155">
        <v>1403</v>
      </c>
      <c r="D154" s="155" t="s">
        <v>329</v>
      </c>
      <c r="E154" s="155" t="s">
        <v>340</v>
      </c>
      <c r="F154" s="156">
        <v>41344</v>
      </c>
      <c r="G154" s="156" t="s">
        <v>465</v>
      </c>
      <c r="H154" s="156" t="s">
        <v>33</v>
      </c>
      <c r="I154" s="157">
        <v>450219.3</v>
      </c>
      <c r="J154" s="158">
        <v>1</v>
      </c>
      <c r="K154" s="159">
        <f>MONTH(Tabela1[[#This Row],[Data da Venda]])</f>
        <v>3</v>
      </c>
      <c r="L154" s="159">
        <f>YEAR(Tabela1[[#This Row],[Data da Venda]])</f>
        <v>2013</v>
      </c>
    </row>
    <row r="155" spans="1:12" ht="15" hidden="1" customHeight="1">
      <c r="A155" s="151" t="s">
        <v>420</v>
      </c>
      <c r="B155" s="150" t="s">
        <v>421</v>
      </c>
      <c r="C155" s="155">
        <v>1404</v>
      </c>
      <c r="D155" s="155" t="s">
        <v>329</v>
      </c>
      <c r="E155" s="155" t="s">
        <v>340</v>
      </c>
      <c r="F155" s="156">
        <v>41344</v>
      </c>
      <c r="G155" s="156" t="s">
        <v>465</v>
      </c>
      <c r="H155" s="156" t="s">
        <v>33</v>
      </c>
      <c r="I155" s="157">
        <v>450219.3</v>
      </c>
      <c r="J155" s="158">
        <v>1</v>
      </c>
      <c r="K155" s="159">
        <f>MONTH(Tabela1[[#This Row],[Data da Venda]])</f>
        <v>3</v>
      </c>
      <c r="L155" s="159">
        <f>YEAR(Tabela1[[#This Row],[Data da Venda]])</f>
        <v>2013</v>
      </c>
    </row>
    <row r="156" spans="1:12" ht="15" hidden="1" customHeight="1">
      <c r="A156" s="151" t="s">
        <v>420</v>
      </c>
      <c r="B156" s="150" t="s">
        <v>421</v>
      </c>
      <c r="C156" s="155">
        <v>1407</v>
      </c>
      <c r="D156" s="155" t="s">
        <v>328</v>
      </c>
      <c r="E156" s="155" t="s">
        <v>340</v>
      </c>
      <c r="F156" s="156">
        <v>41344</v>
      </c>
      <c r="G156" s="156" t="s">
        <v>309</v>
      </c>
      <c r="H156" s="156" t="s">
        <v>26</v>
      </c>
      <c r="I156" s="157">
        <v>413413</v>
      </c>
      <c r="J156" s="158">
        <v>1</v>
      </c>
      <c r="K156" s="159">
        <f>MONTH(Tabela1[[#This Row],[Data da Venda]])</f>
        <v>3</v>
      </c>
      <c r="L156" s="159">
        <f>YEAR(Tabela1[[#This Row],[Data da Venda]])</f>
        <v>2013</v>
      </c>
    </row>
    <row r="157" spans="1:12" ht="15" hidden="1" customHeight="1">
      <c r="A157" s="151" t="s">
        <v>420</v>
      </c>
      <c r="B157" s="150" t="s">
        <v>421</v>
      </c>
      <c r="C157" s="155">
        <v>1408</v>
      </c>
      <c r="D157" s="155" t="s">
        <v>328</v>
      </c>
      <c r="E157" s="155" t="s">
        <v>340</v>
      </c>
      <c r="F157" s="156">
        <v>41344</v>
      </c>
      <c r="G157" s="156" t="s">
        <v>309</v>
      </c>
      <c r="H157" s="156" t="s">
        <v>26</v>
      </c>
      <c r="I157" s="157">
        <v>419330</v>
      </c>
      <c r="J157" s="158">
        <v>1</v>
      </c>
      <c r="K157" s="159">
        <f>MONTH(Tabela1[[#This Row],[Data da Venda]])</f>
        <v>3</v>
      </c>
      <c r="L157" s="159">
        <f>YEAR(Tabela1[[#This Row],[Data da Venda]])</f>
        <v>2013</v>
      </c>
    </row>
    <row r="158" spans="1:12" ht="15" hidden="1" customHeight="1">
      <c r="A158" s="151" t="s">
        <v>420</v>
      </c>
      <c r="B158" s="150" t="s">
        <v>421</v>
      </c>
      <c r="C158" s="155">
        <v>1412</v>
      </c>
      <c r="D158" s="155" t="s">
        <v>329</v>
      </c>
      <c r="E158" s="155" t="s">
        <v>340</v>
      </c>
      <c r="F158" s="156">
        <v>41344</v>
      </c>
      <c r="G158" s="156" t="s">
        <v>465</v>
      </c>
      <c r="H158" s="156" t="s">
        <v>33</v>
      </c>
      <c r="I158" s="157">
        <v>456572.4</v>
      </c>
      <c r="J158" s="158">
        <v>1</v>
      </c>
      <c r="K158" s="159">
        <f>MONTH(Tabela1[[#This Row],[Data da Venda]])</f>
        <v>3</v>
      </c>
      <c r="L158" s="159">
        <f>YEAR(Tabela1[[#This Row],[Data da Venda]])</f>
        <v>2013</v>
      </c>
    </row>
    <row r="159" spans="1:12" ht="15" hidden="1" customHeight="1">
      <c r="A159" s="149" t="s">
        <v>422</v>
      </c>
      <c r="B159" s="150" t="s">
        <v>387</v>
      </c>
      <c r="C159" s="155">
        <v>154</v>
      </c>
      <c r="D159" s="155" t="s">
        <v>328</v>
      </c>
      <c r="E159" s="155" t="s">
        <v>339</v>
      </c>
      <c r="F159" s="156">
        <v>41346</v>
      </c>
      <c r="G159" s="156" t="s">
        <v>56</v>
      </c>
      <c r="H159" s="156" t="s">
        <v>26</v>
      </c>
      <c r="I159" s="157">
        <v>760000</v>
      </c>
      <c r="J159" s="158">
        <v>1</v>
      </c>
      <c r="K159" s="159">
        <f>MONTH(Tabela1[[#This Row],[Data da Venda]])</f>
        <v>3</v>
      </c>
      <c r="L159" s="159">
        <f>YEAR(Tabela1[[#This Row],[Data da Venda]])</f>
        <v>2013</v>
      </c>
    </row>
    <row r="160" spans="1:12" ht="15" hidden="1" customHeight="1">
      <c r="A160" s="149" t="s">
        <v>422</v>
      </c>
      <c r="B160" s="150" t="s">
        <v>407</v>
      </c>
      <c r="C160" s="155">
        <v>181</v>
      </c>
      <c r="D160" s="155" t="s">
        <v>328</v>
      </c>
      <c r="E160" s="155" t="s">
        <v>339</v>
      </c>
      <c r="F160" s="156">
        <v>41346</v>
      </c>
      <c r="G160" s="156" t="s">
        <v>59</v>
      </c>
      <c r="H160" s="156" t="s">
        <v>25</v>
      </c>
      <c r="I160" s="157">
        <v>850000</v>
      </c>
      <c r="J160" s="158">
        <v>1</v>
      </c>
      <c r="K160" s="159">
        <f>MONTH(Tabela1[[#This Row],[Data da Venda]])</f>
        <v>3</v>
      </c>
      <c r="L160" s="159">
        <f>YEAR(Tabela1[[#This Row],[Data da Venda]])</f>
        <v>2013</v>
      </c>
    </row>
    <row r="161" spans="1:12" ht="15" hidden="1" customHeight="1">
      <c r="A161" s="149" t="s">
        <v>191</v>
      </c>
      <c r="B161" s="150" t="s">
        <v>392</v>
      </c>
      <c r="C161" s="155">
        <v>26</v>
      </c>
      <c r="D161" s="155" t="s">
        <v>328</v>
      </c>
      <c r="E161" s="155" t="s">
        <v>339</v>
      </c>
      <c r="F161" s="156">
        <v>41347</v>
      </c>
      <c r="G161" s="156" t="s">
        <v>19</v>
      </c>
      <c r="H161" s="156" t="s">
        <v>27</v>
      </c>
      <c r="I161" s="157">
        <v>210000</v>
      </c>
      <c r="J161" s="158">
        <v>1</v>
      </c>
      <c r="K161" s="159">
        <f>MONTH(Tabela1[[#This Row],[Data da Venda]])</f>
        <v>3</v>
      </c>
      <c r="L161" s="159">
        <f>YEAR(Tabela1[[#This Row],[Data da Venda]])</f>
        <v>2013</v>
      </c>
    </row>
    <row r="162" spans="1:12" ht="15" hidden="1" customHeight="1">
      <c r="A162" s="162" t="s">
        <v>447</v>
      </c>
      <c r="B162" s="150" t="s">
        <v>397</v>
      </c>
      <c r="C162" s="150">
        <v>22</v>
      </c>
      <c r="D162" s="155" t="s">
        <v>327</v>
      </c>
      <c r="E162" s="155" t="s">
        <v>327</v>
      </c>
      <c r="F162" s="156">
        <v>41347</v>
      </c>
      <c r="G162" s="156" t="s">
        <v>360</v>
      </c>
      <c r="H162" s="156" t="s">
        <v>362</v>
      </c>
      <c r="I162" s="163">
        <v>830000</v>
      </c>
      <c r="J162" s="161">
        <v>1</v>
      </c>
      <c r="K162" s="159">
        <f>MONTH(Tabela1[[#This Row],[Data da Venda]])</f>
        <v>3</v>
      </c>
      <c r="L162" s="159">
        <f>YEAR(Tabela1[[#This Row],[Data da Venda]])</f>
        <v>2013</v>
      </c>
    </row>
    <row r="163" spans="1:12" ht="15" hidden="1" customHeight="1">
      <c r="A163" s="149" t="s">
        <v>422</v>
      </c>
      <c r="B163" s="150" t="s">
        <v>407</v>
      </c>
      <c r="C163" s="155">
        <v>184</v>
      </c>
      <c r="D163" s="155" t="s">
        <v>328</v>
      </c>
      <c r="E163" s="155" t="s">
        <v>339</v>
      </c>
      <c r="F163" s="156">
        <v>41348</v>
      </c>
      <c r="G163" s="156" t="s">
        <v>40</v>
      </c>
      <c r="H163" s="156" t="s">
        <v>32</v>
      </c>
      <c r="I163" s="157">
        <v>876000</v>
      </c>
      <c r="J163" s="158">
        <v>1</v>
      </c>
      <c r="K163" s="159">
        <f>MONTH(Tabela1[[#This Row],[Data da Venda]])</f>
        <v>3</v>
      </c>
      <c r="L163" s="159">
        <f>YEAR(Tabela1[[#This Row],[Data da Venda]])</f>
        <v>2013</v>
      </c>
    </row>
    <row r="164" spans="1:12" ht="15" hidden="1" customHeight="1">
      <c r="A164" s="149" t="s">
        <v>191</v>
      </c>
      <c r="B164" s="150" t="s">
        <v>392</v>
      </c>
      <c r="C164" s="155">
        <v>92</v>
      </c>
      <c r="D164" s="155" t="s">
        <v>328</v>
      </c>
      <c r="E164" s="155" t="s">
        <v>339</v>
      </c>
      <c r="F164" s="156">
        <v>41350</v>
      </c>
      <c r="G164" s="156" t="s">
        <v>19</v>
      </c>
      <c r="H164" s="156" t="s">
        <v>27</v>
      </c>
      <c r="I164" s="157">
        <v>240000</v>
      </c>
      <c r="J164" s="158">
        <v>1</v>
      </c>
      <c r="K164" s="159">
        <f>MONTH(Tabela1[[#This Row],[Data da Venda]])</f>
        <v>3</v>
      </c>
      <c r="L164" s="159">
        <f>YEAR(Tabela1[[#This Row],[Data da Venda]])</f>
        <v>2013</v>
      </c>
    </row>
    <row r="165" spans="1:12" ht="15" hidden="1" customHeight="1">
      <c r="A165" s="149" t="s">
        <v>53</v>
      </c>
      <c r="B165" s="150" t="s">
        <v>414</v>
      </c>
      <c r="C165" s="155">
        <v>65</v>
      </c>
      <c r="D165" s="155" t="s">
        <v>328</v>
      </c>
      <c r="E165" s="155" t="s">
        <v>339</v>
      </c>
      <c r="F165" s="156">
        <v>41350</v>
      </c>
      <c r="G165" s="156" t="s">
        <v>60</v>
      </c>
      <c r="H165" s="156" t="s">
        <v>24</v>
      </c>
      <c r="I165" s="157">
        <v>505000</v>
      </c>
      <c r="J165" s="158">
        <v>1</v>
      </c>
      <c r="K165" s="159">
        <f>MONTH(Tabela1[[#This Row],[Data da Venda]])</f>
        <v>3</v>
      </c>
      <c r="L165" s="159">
        <f>YEAR(Tabela1[[#This Row],[Data da Venda]])</f>
        <v>2013</v>
      </c>
    </row>
    <row r="166" spans="1:12" ht="15" hidden="1" customHeight="1">
      <c r="A166" s="149" t="s">
        <v>419</v>
      </c>
      <c r="B166" s="150" t="s">
        <v>454</v>
      </c>
      <c r="C166" s="150">
        <v>214</v>
      </c>
      <c r="D166" s="155" t="s">
        <v>327</v>
      </c>
      <c r="E166" s="155" t="s">
        <v>327</v>
      </c>
      <c r="F166" s="156">
        <v>41351</v>
      </c>
      <c r="G166" s="156" t="s">
        <v>360</v>
      </c>
      <c r="H166" s="156" t="s">
        <v>362</v>
      </c>
      <c r="I166" s="163">
        <v>404249.95</v>
      </c>
      <c r="J166" s="161">
        <v>1</v>
      </c>
      <c r="K166" s="159">
        <f>MONTH(Tabela1[[#This Row],[Data da Venda]])</f>
        <v>3</v>
      </c>
      <c r="L166" s="159">
        <f>YEAR(Tabela1[[#This Row],[Data da Venda]])</f>
        <v>2013</v>
      </c>
    </row>
    <row r="167" spans="1:12" ht="15" hidden="1" customHeight="1">
      <c r="A167" s="149" t="s">
        <v>233</v>
      </c>
      <c r="B167" s="150" t="s">
        <v>428</v>
      </c>
      <c r="C167" s="155">
        <v>54</v>
      </c>
      <c r="D167" s="155" t="s">
        <v>328</v>
      </c>
      <c r="E167" s="155" t="s">
        <v>339</v>
      </c>
      <c r="F167" s="156">
        <v>41352</v>
      </c>
      <c r="G167" s="156" t="s">
        <v>48</v>
      </c>
      <c r="H167" s="156" t="s">
        <v>25</v>
      </c>
      <c r="I167" s="157">
        <v>373011.03</v>
      </c>
      <c r="J167" s="158">
        <v>1</v>
      </c>
      <c r="K167" s="159">
        <f>MONTH(Tabela1[[#This Row],[Data da Venda]])</f>
        <v>3</v>
      </c>
      <c r="L167" s="159">
        <f>YEAR(Tabela1[[#This Row],[Data da Venda]])</f>
        <v>2013</v>
      </c>
    </row>
    <row r="168" spans="1:12" ht="15" hidden="1" customHeight="1">
      <c r="A168" s="149" t="s">
        <v>53</v>
      </c>
      <c r="B168" s="150" t="s">
        <v>436</v>
      </c>
      <c r="C168" s="155" t="s">
        <v>441</v>
      </c>
      <c r="D168" s="155" t="s">
        <v>328</v>
      </c>
      <c r="E168" s="155" t="s">
        <v>339</v>
      </c>
      <c r="F168" s="156">
        <v>41354</v>
      </c>
      <c r="G168" s="156" t="s">
        <v>43</v>
      </c>
      <c r="H168" s="156" t="s">
        <v>61</v>
      </c>
      <c r="I168" s="157">
        <v>34912.03</v>
      </c>
      <c r="J168" s="158">
        <v>1</v>
      </c>
      <c r="K168" s="159">
        <f>MONTH(Tabela1[[#This Row],[Data da Venda]])</f>
        <v>3</v>
      </c>
      <c r="L168" s="159">
        <f>YEAR(Tabela1[[#This Row],[Data da Venda]])</f>
        <v>2013</v>
      </c>
    </row>
    <row r="169" spans="1:12" ht="15" hidden="1" customHeight="1">
      <c r="A169" s="149" t="s">
        <v>422</v>
      </c>
      <c r="B169" s="150" t="s">
        <v>387</v>
      </c>
      <c r="C169" s="155">
        <v>43</v>
      </c>
      <c r="D169" s="155" t="s">
        <v>328</v>
      </c>
      <c r="E169" s="155" t="s">
        <v>339</v>
      </c>
      <c r="F169" s="156">
        <v>41354</v>
      </c>
      <c r="G169" s="156" t="s">
        <v>56</v>
      </c>
      <c r="H169" s="156" t="s">
        <v>26</v>
      </c>
      <c r="I169" s="157">
        <v>750000</v>
      </c>
      <c r="J169" s="158">
        <v>1</v>
      </c>
      <c r="K169" s="159">
        <f>MONTH(Tabela1[[#This Row],[Data da Venda]])</f>
        <v>3</v>
      </c>
      <c r="L169" s="159">
        <f>YEAR(Tabela1[[#This Row],[Data da Venda]])</f>
        <v>2013</v>
      </c>
    </row>
    <row r="170" spans="1:12" ht="15" hidden="1" customHeight="1">
      <c r="A170" s="149" t="s">
        <v>233</v>
      </c>
      <c r="B170" s="150" t="s">
        <v>428</v>
      </c>
      <c r="C170" s="155">
        <v>124</v>
      </c>
      <c r="D170" s="155" t="s">
        <v>328</v>
      </c>
      <c r="E170" s="155" t="s">
        <v>339</v>
      </c>
      <c r="F170" s="156">
        <v>41354</v>
      </c>
      <c r="G170" s="156" t="s">
        <v>48</v>
      </c>
      <c r="H170" s="156" t="s">
        <v>25</v>
      </c>
      <c r="I170" s="157">
        <v>379735</v>
      </c>
      <c r="J170" s="158">
        <v>1</v>
      </c>
      <c r="K170" s="159">
        <f>MONTH(Tabela1[[#This Row],[Data da Venda]])</f>
        <v>3</v>
      </c>
      <c r="L170" s="159">
        <f>YEAR(Tabela1[[#This Row],[Data da Venda]])</f>
        <v>2013</v>
      </c>
    </row>
    <row r="171" spans="1:12" ht="15" hidden="1" customHeight="1">
      <c r="A171" s="149" t="s">
        <v>191</v>
      </c>
      <c r="B171" s="150" t="s">
        <v>401</v>
      </c>
      <c r="C171" s="155">
        <v>55</v>
      </c>
      <c r="D171" s="155" t="s">
        <v>328</v>
      </c>
      <c r="E171" s="155" t="s">
        <v>339</v>
      </c>
      <c r="F171" s="156">
        <v>41356</v>
      </c>
      <c r="G171" s="156" t="s">
        <v>41</v>
      </c>
      <c r="H171" s="156" t="s">
        <v>27</v>
      </c>
      <c r="I171" s="157">
        <v>120002.73</v>
      </c>
      <c r="J171" s="160">
        <v>0.5</v>
      </c>
      <c r="K171" s="159">
        <f>MONTH(Tabela1[[#This Row],[Data da Venda]])</f>
        <v>3</v>
      </c>
      <c r="L171" s="159">
        <f>YEAR(Tabela1[[#This Row],[Data da Venda]])</f>
        <v>2013</v>
      </c>
    </row>
    <row r="172" spans="1:12" ht="15" hidden="1" customHeight="1">
      <c r="A172" s="149" t="s">
        <v>191</v>
      </c>
      <c r="B172" s="150" t="s">
        <v>401</v>
      </c>
      <c r="C172" s="155">
        <v>55</v>
      </c>
      <c r="D172" s="155" t="s">
        <v>328</v>
      </c>
      <c r="E172" s="155" t="s">
        <v>339</v>
      </c>
      <c r="F172" s="156">
        <v>41356</v>
      </c>
      <c r="G172" s="156" t="s">
        <v>42</v>
      </c>
      <c r="H172" s="156" t="s">
        <v>27</v>
      </c>
      <c r="I172" s="157">
        <v>120002.73</v>
      </c>
      <c r="J172" s="160">
        <v>0.5</v>
      </c>
      <c r="K172" s="159">
        <f>MONTH(Tabela1[[#This Row],[Data da Venda]])</f>
        <v>3</v>
      </c>
      <c r="L172" s="159">
        <f>YEAR(Tabela1[[#This Row],[Data da Venda]])</f>
        <v>2013</v>
      </c>
    </row>
    <row r="173" spans="1:12" ht="15" hidden="1" customHeight="1">
      <c r="A173" s="149" t="s">
        <v>53</v>
      </c>
      <c r="B173" s="150" t="s">
        <v>414</v>
      </c>
      <c r="C173" s="155">
        <v>53</v>
      </c>
      <c r="D173" s="155" t="s">
        <v>328</v>
      </c>
      <c r="E173" s="155" t="s">
        <v>339</v>
      </c>
      <c r="F173" s="156">
        <v>41356</v>
      </c>
      <c r="G173" s="156" t="s">
        <v>235</v>
      </c>
      <c r="H173" s="156" t="s">
        <v>27</v>
      </c>
      <c r="I173" s="157">
        <v>699033</v>
      </c>
      <c r="J173" s="160">
        <v>1</v>
      </c>
      <c r="K173" s="159">
        <f>MONTH(Tabela1[[#This Row],[Data da Venda]])</f>
        <v>3</v>
      </c>
      <c r="L173" s="159">
        <f>YEAR(Tabela1[[#This Row],[Data da Venda]])</f>
        <v>2013</v>
      </c>
    </row>
    <row r="174" spans="1:12" ht="15" hidden="1" customHeight="1">
      <c r="A174" s="149" t="s">
        <v>208</v>
      </c>
      <c r="B174" s="150" t="s">
        <v>399</v>
      </c>
      <c r="C174" s="155">
        <v>138</v>
      </c>
      <c r="D174" s="155" t="s">
        <v>328</v>
      </c>
      <c r="E174" s="155" t="s">
        <v>339</v>
      </c>
      <c r="F174" s="156">
        <v>41357</v>
      </c>
      <c r="G174" s="156" t="s">
        <v>308</v>
      </c>
      <c r="H174" s="156" t="s">
        <v>26</v>
      </c>
      <c r="I174" s="157">
        <v>122538.28</v>
      </c>
      <c r="J174" s="160">
        <v>0.5</v>
      </c>
      <c r="K174" s="159">
        <f>MONTH(Tabela1[[#This Row],[Data da Venda]])</f>
        <v>3</v>
      </c>
      <c r="L174" s="159">
        <f>YEAR(Tabela1[[#This Row],[Data da Venda]])</f>
        <v>2013</v>
      </c>
    </row>
    <row r="175" spans="1:12" ht="15" hidden="1" customHeight="1">
      <c r="A175" s="149" t="s">
        <v>208</v>
      </c>
      <c r="B175" s="150" t="s">
        <v>399</v>
      </c>
      <c r="C175" s="155">
        <v>138</v>
      </c>
      <c r="D175" s="155" t="s">
        <v>328</v>
      </c>
      <c r="E175" s="155" t="s">
        <v>339</v>
      </c>
      <c r="F175" s="156">
        <v>41357</v>
      </c>
      <c r="G175" s="156" t="s">
        <v>239</v>
      </c>
      <c r="H175" s="156" t="s">
        <v>27</v>
      </c>
      <c r="I175" s="157">
        <v>122538.28</v>
      </c>
      <c r="J175" s="160">
        <v>0.5</v>
      </c>
      <c r="K175" s="159">
        <f>MONTH(Tabela1[[#This Row],[Data da Venda]])</f>
        <v>3</v>
      </c>
      <c r="L175" s="159">
        <f>YEAR(Tabela1[[#This Row],[Data da Venda]])</f>
        <v>2013</v>
      </c>
    </row>
    <row r="176" spans="1:12" ht="15" hidden="1" customHeight="1">
      <c r="A176" s="149" t="s">
        <v>53</v>
      </c>
      <c r="B176" s="150" t="s">
        <v>414</v>
      </c>
      <c r="C176" s="155">
        <v>26</v>
      </c>
      <c r="D176" s="155" t="s">
        <v>328</v>
      </c>
      <c r="E176" s="155" t="s">
        <v>339</v>
      </c>
      <c r="F176" s="156">
        <v>41357</v>
      </c>
      <c r="G176" s="156" t="s">
        <v>194</v>
      </c>
      <c r="H176" s="156" t="s">
        <v>27</v>
      </c>
      <c r="I176" s="157">
        <v>580000</v>
      </c>
      <c r="J176" s="160">
        <v>1</v>
      </c>
      <c r="K176" s="159">
        <f>MONTH(Tabela1[[#This Row],[Data da Venda]])</f>
        <v>3</v>
      </c>
      <c r="L176" s="159">
        <f>YEAR(Tabela1[[#This Row],[Data da Venda]])</f>
        <v>2013</v>
      </c>
    </row>
    <row r="177" spans="1:12" ht="15" hidden="1" customHeight="1">
      <c r="A177" s="149" t="s">
        <v>53</v>
      </c>
      <c r="B177" s="150" t="s">
        <v>414</v>
      </c>
      <c r="C177" s="155">
        <v>173</v>
      </c>
      <c r="D177" s="155" t="s">
        <v>328</v>
      </c>
      <c r="E177" s="155" t="s">
        <v>339</v>
      </c>
      <c r="F177" s="156">
        <v>41357</v>
      </c>
      <c r="G177" s="156" t="s">
        <v>78</v>
      </c>
      <c r="H177" s="156" t="s">
        <v>79</v>
      </c>
      <c r="I177" s="157">
        <v>899700</v>
      </c>
      <c r="J177" s="160">
        <v>1</v>
      </c>
      <c r="K177" s="159">
        <f>MONTH(Tabela1[[#This Row],[Data da Venda]])</f>
        <v>3</v>
      </c>
      <c r="L177" s="159">
        <f>YEAR(Tabela1[[#This Row],[Data da Venda]])</f>
        <v>2013</v>
      </c>
    </row>
    <row r="178" spans="1:12" ht="15" hidden="1" customHeight="1">
      <c r="A178" s="149" t="s">
        <v>53</v>
      </c>
      <c r="B178" s="150" t="s">
        <v>414</v>
      </c>
      <c r="C178" s="155">
        <v>21</v>
      </c>
      <c r="D178" s="155" t="s">
        <v>328</v>
      </c>
      <c r="E178" s="155" t="s">
        <v>339</v>
      </c>
      <c r="F178" s="156">
        <v>41358</v>
      </c>
      <c r="G178" s="156" t="s">
        <v>194</v>
      </c>
      <c r="H178" s="156" t="s">
        <v>27</v>
      </c>
      <c r="I178" s="157">
        <v>420000</v>
      </c>
      <c r="J178" s="158">
        <v>1</v>
      </c>
      <c r="K178" s="159">
        <f>MONTH(Tabela1[[#This Row],[Data da Venda]])</f>
        <v>3</v>
      </c>
      <c r="L178" s="159">
        <f>YEAR(Tabela1[[#This Row],[Data da Venda]])</f>
        <v>2013</v>
      </c>
    </row>
    <row r="179" spans="1:12" ht="15" hidden="1" customHeight="1">
      <c r="A179" s="149" t="s">
        <v>233</v>
      </c>
      <c r="B179" s="150" t="s">
        <v>428</v>
      </c>
      <c r="C179" s="155">
        <v>166</v>
      </c>
      <c r="D179" s="155" t="s">
        <v>328</v>
      </c>
      <c r="E179" s="155" t="s">
        <v>339</v>
      </c>
      <c r="F179" s="156">
        <v>41360</v>
      </c>
      <c r="G179" s="156" t="s">
        <v>48</v>
      </c>
      <c r="H179" s="156" t="s">
        <v>25</v>
      </c>
      <c r="I179" s="157">
        <v>379000</v>
      </c>
      <c r="J179" s="160">
        <v>1</v>
      </c>
      <c r="K179" s="159">
        <f>MONTH(Tabela1[[#This Row],[Data da Venda]])</f>
        <v>3</v>
      </c>
      <c r="L179" s="159">
        <f>YEAR(Tabela1[[#This Row],[Data da Venda]])</f>
        <v>2013</v>
      </c>
    </row>
    <row r="180" spans="1:12" ht="15" hidden="1" customHeight="1">
      <c r="A180" s="151" t="s">
        <v>122</v>
      </c>
      <c r="B180" s="150" t="s">
        <v>417</v>
      </c>
      <c r="C180" s="155">
        <v>808</v>
      </c>
      <c r="D180" s="155" t="s">
        <v>329</v>
      </c>
      <c r="E180" s="155" t="s">
        <v>339</v>
      </c>
      <c r="F180" s="156">
        <v>41361</v>
      </c>
      <c r="G180" s="156" t="s">
        <v>337</v>
      </c>
      <c r="H180" s="156" t="s">
        <v>33</v>
      </c>
      <c r="I180" s="157">
        <v>750000</v>
      </c>
      <c r="J180" s="158">
        <v>1</v>
      </c>
      <c r="K180" s="159">
        <f>MONTH(Tabela1[[#This Row],[Data da Venda]])</f>
        <v>3</v>
      </c>
      <c r="L180" s="159">
        <f>YEAR(Tabela1[[#This Row],[Data da Venda]])</f>
        <v>2013</v>
      </c>
    </row>
    <row r="181" spans="1:12" ht="15" hidden="1" customHeight="1">
      <c r="A181" s="149" t="s">
        <v>422</v>
      </c>
      <c r="B181" s="150" t="s">
        <v>387</v>
      </c>
      <c r="C181" s="155">
        <v>141</v>
      </c>
      <c r="D181" s="155" t="s">
        <v>328</v>
      </c>
      <c r="E181" s="155" t="s">
        <v>339</v>
      </c>
      <c r="F181" s="156">
        <v>41361</v>
      </c>
      <c r="G181" s="156" t="s">
        <v>40</v>
      </c>
      <c r="H181" s="156" t="s">
        <v>61</v>
      </c>
      <c r="I181" s="157">
        <v>800000</v>
      </c>
      <c r="J181" s="158">
        <v>1</v>
      </c>
      <c r="K181" s="159">
        <f>MONTH(Tabela1[[#This Row],[Data da Venda]])</f>
        <v>3</v>
      </c>
      <c r="L181" s="159">
        <f>YEAR(Tabela1[[#This Row],[Data da Venda]])</f>
        <v>2013</v>
      </c>
    </row>
    <row r="182" spans="1:12" ht="15" hidden="1" customHeight="1">
      <c r="A182" s="149" t="s">
        <v>208</v>
      </c>
      <c r="B182" s="150" t="s">
        <v>388</v>
      </c>
      <c r="C182" s="155">
        <v>17</v>
      </c>
      <c r="D182" s="155" t="s">
        <v>328</v>
      </c>
      <c r="E182" s="155" t="s">
        <v>339</v>
      </c>
      <c r="F182" s="156">
        <v>41369</v>
      </c>
      <c r="G182" s="156" t="s">
        <v>39</v>
      </c>
      <c r="H182" s="156" t="s">
        <v>27</v>
      </c>
      <c r="I182" s="157">
        <v>273871.5</v>
      </c>
      <c r="J182" s="158">
        <v>1</v>
      </c>
      <c r="K182" s="159">
        <f>MONTH(Tabela1[[#This Row],[Data da Venda]])</f>
        <v>4</v>
      </c>
      <c r="L182" s="159">
        <f>YEAR(Tabela1[[#This Row],[Data da Venda]])</f>
        <v>2013</v>
      </c>
    </row>
    <row r="183" spans="1:12" ht="15" hidden="1" customHeight="1">
      <c r="A183" s="151" t="s">
        <v>81</v>
      </c>
      <c r="B183" s="150" t="s">
        <v>446</v>
      </c>
      <c r="C183" s="155">
        <v>118</v>
      </c>
      <c r="D183" s="155" t="s">
        <v>329</v>
      </c>
      <c r="E183" s="155" t="s">
        <v>339</v>
      </c>
      <c r="F183" s="156">
        <v>41369</v>
      </c>
      <c r="G183" s="156" t="s">
        <v>337</v>
      </c>
      <c r="H183" s="156" t="s">
        <v>33</v>
      </c>
      <c r="I183" s="157">
        <v>434500</v>
      </c>
      <c r="J183" s="158">
        <v>1</v>
      </c>
      <c r="K183" s="159">
        <f>MONTH(Tabela1[[#This Row],[Data da Venda]])</f>
        <v>4</v>
      </c>
      <c r="L183" s="159">
        <f>YEAR(Tabela1[[#This Row],[Data da Venda]])</f>
        <v>2013</v>
      </c>
    </row>
    <row r="184" spans="1:12" ht="15" hidden="1" customHeight="1">
      <c r="A184" s="149" t="s">
        <v>422</v>
      </c>
      <c r="B184" s="150" t="s">
        <v>407</v>
      </c>
      <c r="C184" s="155">
        <v>192</v>
      </c>
      <c r="D184" s="155" t="s">
        <v>328</v>
      </c>
      <c r="E184" s="155" t="s">
        <v>339</v>
      </c>
      <c r="F184" s="156">
        <v>41370</v>
      </c>
      <c r="G184" s="156" t="s">
        <v>59</v>
      </c>
      <c r="H184" s="156" t="s">
        <v>25</v>
      </c>
      <c r="I184" s="157">
        <v>862309.56</v>
      </c>
      <c r="J184" s="158">
        <v>1</v>
      </c>
      <c r="K184" s="159">
        <f>MONTH(Tabela1[[#This Row],[Data da Venda]])</f>
        <v>4</v>
      </c>
      <c r="L184" s="159">
        <f>YEAR(Tabela1[[#This Row],[Data da Venda]])</f>
        <v>2013</v>
      </c>
    </row>
    <row r="185" spans="1:12" ht="15" hidden="1" customHeight="1">
      <c r="A185" s="149" t="s">
        <v>53</v>
      </c>
      <c r="B185" s="150" t="s">
        <v>414</v>
      </c>
      <c r="C185" s="155">
        <v>11</v>
      </c>
      <c r="D185" s="155" t="s">
        <v>328</v>
      </c>
      <c r="E185" s="155" t="s">
        <v>339</v>
      </c>
      <c r="F185" s="156">
        <v>41371</v>
      </c>
      <c r="G185" s="156" t="s">
        <v>20</v>
      </c>
      <c r="H185" s="156" t="s">
        <v>26</v>
      </c>
      <c r="I185" s="157">
        <v>500000</v>
      </c>
      <c r="J185" s="158">
        <v>1</v>
      </c>
      <c r="K185" s="159">
        <f>MONTH(Tabela1[[#This Row],[Data da Venda]])</f>
        <v>4</v>
      </c>
      <c r="L185" s="159">
        <f>YEAR(Tabela1[[#This Row],[Data da Venda]])</f>
        <v>2013</v>
      </c>
    </row>
    <row r="186" spans="1:12" ht="15" hidden="1" customHeight="1">
      <c r="A186" s="149" t="s">
        <v>419</v>
      </c>
      <c r="B186" s="150" t="s">
        <v>454</v>
      </c>
      <c r="C186" s="164">
        <v>1205</v>
      </c>
      <c r="D186" s="155" t="s">
        <v>327</v>
      </c>
      <c r="E186" s="155" t="s">
        <v>327</v>
      </c>
      <c r="F186" s="165">
        <v>41372</v>
      </c>
      <c r="G186" s="156" t="s">
        <v>361</v>
      </c>
      <c r="H186" s="156" t="s">
        <v>362</v>
      </c>
      <c r="I186" s="166">
        <v>597612.12</v>
      </c>
      <c r="J186" s="160">
        <v>1</v>
      </c>
      <c r="K186" s="159">
        <f>MONTH(Tabela1[[#This Row],[Data da Venda]])</f>
        <v>4</v>
      </c>
      <c r="L186" s="159">
        <f>YEAR(Tabela1[[#This Row],[Data da Venda]])</f>
        <v>2013</v>
      </c>
    </row>
    <row r="187" spans="1:12" ht="15" hidden="1" customHeight="1">
      <c r="A187" s="149" t="s">
        <v>191</v>
      </c>
      <c r="B187" s="150" t="s">
        <v>392</v>
      </c>
      <c r="C187" s="155">
        <v>45</v>
      </c>
      <c r="D187" s="155" t="s">
        <v>328</v>
      </c>
      <c r="E187" s="155" t="s">
        <v>339</v>
      </c>
      <c r="F187" s="156">
        <v>41373</v>
      </c>
      <c r="G187" s="156" t="s">
        <v>313</v>
      </c>
      <c r="H187" s="156" t="s">
        <v>25</v>
      </c>
      <c r="I187" s="157">
        <v>235000</v>
      </c>
      <c r="J187" s="158">
        <v>1</v>
      </c>
      <c r="K187" s="159">
        <f>MONTH(Tabela1[[#This Row],[Data da Venda]])</f>
        <v>4</v>
      </c>
      <c r="L187" s="159">
        <f>YEAR(Tabela1[[#This Row],[Data da Venda]])</f>
        <v>2013</v>
      </c>
    </row>
    <row r="188" spans="1:12" ht="15" hidden="1" customHeight="1">
      <c r="A188" s="162" t="s">
        <v>447</v>
      </c>
      <c r="B188" s="164" t="s">
        <v>397</v>
      </c>
      <c r="C188" s="164">
        <v>84</v>
      </c>
      <c r="D188" s="155" t="s">
        <v>327</v>
      </c>
      <c r="E188" s="155" t="s">
        <v>327</v>
      </c>
      <c r="F188" s="165">
        <v>41373</v>
      </c>
      <c r="G188" s="156" t="s">
        <v>360</v>
      </c>
      <c r="H188" s="156" t="s">
        <v>362</v>
      </c>
      <c r="I188" s="166">
        <v>976571.3</v>
      </c>
      <c r="J188" s="164">
        <v>1</v>
      </c>
      <c r="K188" s="159">
        <f>MONTH(Tabela1[[#This Row],[Data da Venda]])</f>
        <v>4</v>
      </c>
      <c r="L188" s="159">
        <f>YEAR(Tabela1[[#This Row],[Data da Venda]])</f>
        <v>2013</v>
      </c>
    </row>
    <row r="189" spans="1:12" ht="15" hidden="1" customHeight="1">
      <c r="A189" s="149" t="s">
        <v>422</v>
      </c>
      <c r="B189" s="150" t="s">
        <v>407</v>
      </c>
      <c r="C189" s="155">
        <v>202</v>
      </c>
      <c r="D189" s="155" t="s">
        <v>329</v>
      </c>
      <c r="E189" s="155" t="s">
        <v>339</v>
      </c>
      <c r="F189" s="156">
        <v>41373</v>
      </c>
      <c r="G189" s="156" t="s">
        <v>337</v>
      </c>
      <c r="H189" s="156" t="s">
        <v>33</v>
      </c>
      <c r="I189" s="157">
        <v>870000</v>
      </c>
      <c r="J189" s="158">
        <v>1</v>
      </c>
      <c r="K189" s="159">
        <f>MONTH(Tabela1[[#This Row],[Data da Venda]])</f>
        <v>4</v>
      </c>
      <c r="L189" s="159">
        <f>YEAR(Tabela1[[#This Row],[Data da Venda]])</f>
        <v>2013</v>
      </c>
    </row>
    <row r="190" spans="1:12" ht="15" hidden="1" customHeight="1">
      <c r="A190" s="149" t="s">
        <v>191</v>
      </c>
      <c r="B190" s="150" t="s">
        <v>385</v>
      </c>
      <c r="C190" s="155">
        <v>6</v>
      </c>
      <c r="D190" s="155" t="s">
        <v>328</v>
      </c>
      <c r="E190" s="155" t="s">
        <v>339</v>
      </c>
      <c r="F190" s="156">
        <v>41374</v>
      </c>
      <c r="G190" s="156" t="s">
        <v>17</v>
      </c>
      <c r="H190" s="156" t="s">
        <v>25</v>
      </c>
      <c r="I190" s="157">
        <v>119900</v>
      </c>
      <c r="J190" s="160">
        <v>0.5</v>
      </c>
      <c r="K190" s="159">
        <f>MONTH(Tabela1[[#This Row],[Data da Venda]])</f>
        <v>4</v>
      </c>
      <c r="L190" s="159">
        <f>YEAR(Tabela1[[#This Row],[Data da Venda]])</f>
        <v>2013</v>
      </c>
    </row>
    <row r="191" spans="1:12" ht="15" hidden="1" customHeight="1">
      <c r="A191" s="149" t="s">
        <v>191</v>
      </c>
      <c r="B191" s="150" t="s">
        <v>385</v>
      </c>
      <c r="C191" s="155">
        <v>6</v>
      </c>
      <c r="D191" s="155" t="s">
        <v>328</v>
      </c>
      <c r="E191" s="155" t="s">
        <v>339</v>
      </c>
      <c r="F191" s="156">
        <v>41374</v>
      </c>
      <c r="G191" s="156" t="s">
        <v>206</v>
      </c>
      <c r="H191" s="156" t="s">
        <v>25</v>
      </c>
      <c r="I191" s="157">
        <v>119900</v>
      </c>
      <c r="J191" s="160">
        <v>0.5</v>
      </c>
      <c r="K191" s="159">
        <f>MONTH(Tabela1[[#This Row],[Data da Venda]])</f>
        <v>4</v>
      </c>
      <c r="L191" s="159">
        <f>YEAR(Tabela1[[#This Row],[Data da Venda]])</f>
        <v>2013</v>
      </c>
    </row>
    <row r="192" spans="1:12" ht="15" hidden="1" customHeight="1">
      <c r="A192" s="151" t="s">
        <v>81</v>
      </c>
      <c r="B192" s="150" t="s">
        <v>446</v>
      </c>
      <c r="C192" s="155">
        <v>116</v>
      </c>
      <c r="D192" s="155" t="s">
        <v>328</v>
      </c>
      <c r="E192" s="155" t="s">
        <v>339</v>
      </c>
      <c r="F192" s="156">
        <v>41374</v>
      </c>
      <c r="G192" s="156" t="s">
        <v>84</v>
      </c>
      <c r="H192" s="156" t="s">
        <v>61</v>
      </c>
      <c r="I192" s="157">
        <v>510040.77</v>
      </c>
      <c r="J192" s="160">
        <v>1</v>
      </c>
      <c r="K192" s="159">
        <f>MONTH(Tabela1[[#This Row],[Data da Venda]])</f>
        <v>4</v>
      </c>
      <c r="L192" s="159">
        <f>YEAR(Tabela1[[#This Row],[Data da Venda]])</f>
        <v>2013</v>
      </c>
    </row>
    <row r="193" spans="1:12" ht="15" hidden="1" customHeight="1">
      <c r="A193" s="151" t="s">
        <v>186</v>
      </c>
      <c r="B193" s="150" t="s">
        <v>418</v>
      </c>
      <c r="C193" s="155">
        <v>1011</v>
      </c>
      <c r="D193" s="155" t="s">
        <v>328</v>
      </c>
      <c r="E193" s="155" t="s">
        <v>339</v>
      </c>
      <c r="F193" s="156">
        <v>41374</v>
      </c>
      <c r="G193" s="156" t="s">
        <v>140</v>
      </c>
      <c r="H193" s="156" t="s">
        <v>79</v>
      </c>
      <c r="I193" s="157">
        <v>407409</v>
      </c>
      <c r="J193" s="160">
        <v>1</v>
      </c>
      <c r="K193" s="159">
        <f>MONTH(Tabela1[[#This Row],[Data da Venda]])</f>
        <v>4</v>
      </c>
      <c r="L193" s="159">
        <f>YEAR(Tabela1[[#This Row],[Data da Venda]])</f>
        <v>2013</v>
      </c>
    </row>
    <row r="194" spans="1:12" ht="15" hidden="1" customHeight="1">
      <c r="A194" s="151" t="s">
        <v>122</v>
      </c>
      <c r="B194" s="150" t="s">
        <v>417</v>
      </c>
      <c r="C194" s="164">
        <v>106</v>
      </c>
      <c r="D194" s="155" t="s">
        <v>327</v>
      </c>
      <c r="E194" s="155" t="s">
        <v>327</v>
      </c>
      <c r="F194" s="165">
        <v>41375</v>
      </c>
      <c r="G194" s="156" t="s">
        <v>360</v>
      </c>
      <c r="H194" s="156" t="s">
        <v>362</v>
      </c>
      <c r="I194" s="166">
        <v>576632.23</v>
      </c>
      <c r="J194" s="164">
        <v>1</v>
      </c>
      <c r="K194" s="159">
        <f>MONTH(Tabela1[[#This Row],[Data da Venda]])</f>
        <v>4</v>
      </c>
      <c r="L194" s="159">
        <f>YEAR(Tabela1[[#This Row],[Data da Venda]])</f>
        <v>2013</v>
      </c>
    </row>
    <row r="195" spans="1:12" ht="15.75" hidden="1" customHeight="1">
      <c r="A195" s="149" t="s">
        <v>53</v>
      </c>
      <c r="B195" s="150" t="s">
        <v>414</v>
      </c>
      <c r="C195" s="155">
        <v>52</v>
      </c>
      <c r="D195" s="155" t="s">
        <v>328</v>
      </c>
      <c r="E195" s="155" t="s">
        <v>339</v>
      </c>
      <c r="F195" s="156">
        <v>41376</v>
      </c>
      <c r="G195" s="156" t="s">
        <v>196</v>
      </c>
      <c r="H195" s="156" t="s">
        <v>24</v>
      </c>
      <c r="I195" s="157">
        <v>613400</v>
      </c>
      <c r="J195" s="160">
        <v>1</v>
      </c>
      <c r="K195" s="159">
        <f>MONTH(Tabela1[[#This Row],[Data da Venda]])</f>
        <v>4</v>
      </c>
      <c r="L195" s="159">
        <f>YEAR(Tabela1[[#This Row],[Data da Venda]])</f>
        <v>2013</v>
      </c>
    </row>
    <row r="196" spans="1:12" ht="15" hidden="1" customHeight="1">
      <c r="A196" s="149" t="s">
        <v>419</v>
      </c>
      <c r="B196" s="150" t="s">
        <v>454</v>
      </c>
      <c r="C196" s="164">
        <v>903</v>
      </c>
      <c r="D196" s="155" t="s">
        <v>327</v>
      </c>
      <c r="E196" s="155" t="s">
        <v>327</v>
      </c>
      <c r="F196" s="165">
        <v>41376</v>
      </c>
      <c r="G196" s="156" t="s">
        <v>360</v>
      </c>
      <c r="H196" s="156" t="s">
        <v>362</v>
      </c>
      <c r="I196" s="166">
        <v>428346.22</v>
      </c>
      <c r="J196" s="164">
        <v>1</v>
      </c>
      <c r="K196" s="159">
        <f>MONTH(Tabela1[[#This Row],[Data da Venda]])</f>
        <v>4</v>
      </c>
      <c r="L196" s="159">
        <f>YEAR(Tabela1[[#This Row],[Data da Venda]])</f>
        <v>2013</v>
      </c>
    </row>
    <row r="197" spans="1:12" ht="15" hidden="1" customHeight="1">
      <c r="A197" s="149" t="s">
        <v>208</v>
      </c>
      <c r="B197" s="150" t="s">
        <v>399</v>
      </c>
      <c r="C197" s="155">
        <v>154</v>
      </c>
      <c r="D197" s="155" t="s">
        <v>328</v>
      </c>
      <c r="E197" s="155" t="s">
        <v>339</v>
      </c>
      <c r="F197" s="156">
        <v>41377</v>
      </c>
      <c r="G197" s="156" t="s">
        <v>44</v>
      </c>
      <c r="H197" s="156" t="s">
        <v>25</v>
      </c>
      <c r="I197" s="157">
        <v>255100</v>
      </c>
      <c r="J197" s="160">
        <v>1</v>
      </c>
      <c r="K197" s="159">
        <f>MONTH(Tabela1[[#This Row],[Data da Venda]])</f>
        <v>4</v>
      </c>
      <c r="L197" s="159">
        <f>YEAR(Tabela1[[#This Row],[Data da Venda]])</f>
        <v>2013</v>
      </c>
    </row>
    <row r="198" spans="1:12" ht="15" hidden="1" customHeight="1">
      <c r="A198" s="149" t="s">
        <v>191</v>
      </c>
      <c r="B198" s="150" t="s">
        <v>385</v>
      </c>
      <c r="C198" s="155">
        <v>125</v>
      </c>
      <c r="D198" s="155" t="s">
        <v>328</v>
      </c>
      <c r="E198" s="155" t="s">
        <v>339</v>
      </c>
      <c r="F198" s="156">
        <v>41378</v>
      </c>
      <c r="G198" s="156" t="s">
        <v>19</v>
      </c>
      <c r="H198" s="156" t="s">
        <v>27</v>
      </c>
      <c r="I198" s="157">
        <v>220000</v>
      </c>
      <c r="J198" s="160">
        <v>1</v>
      </c>
      <c r="K198" s="159">
        <f>MONTH(Tabela1[[#This Row],[Data da Venda]])</f>
        <v>4</v>
      </c>
      <c r="L198" s="159">
        <f>YEAR(Tabela1[[#This Row],[Data da Venda]])</f>
        <v>2013</v>
      </c>
    </row>
    <row r="199" spans="1:12" ht="15" hidden="1" customHeight="1">
      <c r="A199" s="149" t="s">
        <v>53</v>
      </c>
      <c r="B199" s="150" t="s">
        <v>414</v>
      </c>
      <c r="C199" s="155">
        <v>62</v>
      </c>
      <c r="D199" s="155" t="s">
        <v>328</v>
      </c>
      <c r="E199" s="155" t="s">
        <v>339</v>
      </c>
      <c r="F199" s="156">
        <v>41378</v>
      </c>
      <c r="G199" s="156" t="s">
        <v>20</v>
      </c>
      <c r="H199" s="156" t="s">
        <v>26</v>
      </c>
      <c r="I199" s="157">
        <v>638550</v>
      </c>
      <c r="J199" s="158">
        <v>1</v>
      </c>
      <c r="K199" s="159">
        <f>MONTH(Tabela1[[#This Row],[Data da Venda]])</f>
        <v>4</v>
      </c>
      <c r="L199" s="159">
        <f>YEAR(Tabela1[[#This Row],[Data da Venda]])</f>
        <v>2013</v>
      </c>
    </row>
    <row r="200" spans="1:12" ht="15" hidden="1" customHeight="1">
      <c r="A200" s="149" t="s">
        <v>53</v>
      </c>
      <c r="B200" s="150" t="s">
        <v>414</v>
      </c>
      <c r="C200" s="155">
        <v>63</v>
      </c>
      <c r="D200" s="155" t="s">
        <v>328</v>
      </c>
      <c r="E200" s="155" t="s">
        <v>339</v>
      </c>
      <c r="F200" s="156">
        <v>41378</v>
      </c>
      <c r="G200" s="156" t="s">
        <v>20</v>
      </c>
      <c r="H200" s="156" t="s">
        <v>26</v>
      </c>
      <c r="I200" s="157">
        <v>666760</v>
      </c>
      <c r="J200" s="158">
        <v>1</v>
      </c>
      <c r="K200" s="159">
        <f>MONTH(Tabela1[[#This Row],[Data da Venda]])</f>
        <v>4</v>
      </c>
      <c r="L200" s="159">
        <f>YEAR(Tabela1[[#This Row],[Data da Venda]])</f>
        <v>2013</v>
      </c>
    </row>
    <row r="201" spans="1:12" ht="15" hidden="1" customHeight="1">
      <c r="A201" s="149" t="s">
        <v>53</v>
      </c>
      <c r="B201" s="150" t="s">
        <v>414</v>
      </c>
      <c r="C201" s="155">
        <v>77</v>
      </c>
      <c r="D201" s="155" t="s">
        <v>328</v>
      </c>
      <c r="E201" s="155" t="s">
        <v>339</v>
      </c>
      <c r="F201" s="156">
        <v>41378</v>
      </c>
      <c r="G201" s="156" t="s">
        <v>87</v>
      </c>
      <c r="H201" s="156" t="s">
        <v>79</v>
      </c>
      <c r="I201" s="157">
        <v>577155</v>
      </c>
      <c r="J201" s="160">
        <v>1</v>
      </c>
      <c r="K201" s="159">
        <f>MONTH(Tabela1[[#This Row],[Data da Venda]])</f>
        <v>4</v>
      </c>
      <c r="L201" s="159">
        <f>YEAR(Tabela1[[#This Row],[Data da Venda]])</f>
        <v>2013</v>
      </c>
    </row>
    <row r="202" spans="1:12" ht="15" hidden="1" customHeight="1">
      <c r="A202" s="149" t="s">
        <v>89</v>
      </c>
      <c r="B202" s="150" t="s">
        <v>426</v>
      </c>
      <c r="C202" s="155">
        <v>22</v>
      </c>
      <c r="D202" s="155" t="s">
        <v>329</v>
      </c>
      <c r="E202" s="155" t="s">
        <v>339</v>
      </c>
      <c r="F202" s="156">
        <v>41380</v>
      </c>
      <c r="G202" s="156" t="s">
        <v>465</v>
      </c>
      <c r="H202" s="156" t="s">
        <v>33</v>
      </c>
      <c r="I202" s="157">
        <v>2000000</v>
      </c>
      <c r="J202" s="160">
        <v>1</v>
      </c>
      <c r="K202" s="159">
        <f>MONTH(Tabela1[[#This Row],[Data da Venda]])</f>
        <v>4</v>
      </c>
      <c r="L202" s="159">
        <f>YEAR(Tabela1[[#This Row],[Data da Venda]])</f>
        <v>2013</v>
      </c>
    </row>
    <row r="203" spans="1:12" ht="15" hidden="1" customHeight="1">
      <c r="A203" s="151" t="s">
        <v>186</v>
      </c>
      <c r="B203" s="150" t="s">
        <v>418</v>
      </c>
      <c r="C203" s="155">
        <v>405</v>
      </c>
      <c r="D203" s="155" t="s">
        <v>328</v>
      </c>
      <c r="E203" s="155" t="s">
        <v>339</v>
      </c>
      <c r="F203" s="156">
        <v>41381</v>
      </c>
      <c r="G203" s="156" t="s">
        <v>207</v>
      </c>
      <c r="H203" s="156" t="s">
        <v>79</v>
      </c>
      <c r="I203" s="157">
        <v>399802.79</v>
      </c>
      <c r="J203" s="160">
        <v>1</v>
      </c>
      <c r="K203" s="159">
        <f>MONTH(Tabela1[[#This Row],[Data da Venda]])</f>
        <v>4</v>
      </c>
      <c r="L203" s="159">
        <f>YEAR(Tabela1[[#This Row],[Data da Venda]])</f>
        <v>2013</v>
      </c>
    </row>
    <row r="204" spans="1:12" ht="15" hidden="1" customHeight="1">
      <c r="A204" s="149" t="s">
        <v>419</v>
      </c>
      <c r="B204" s="150" t="s">
        <v>454</v>
      </c>
      <c r="C204" s="164">
        <v>1604</v>
      </c>
      <c r="D204" s="155" t="s">
        <v>327</v>
      </c>
      <c r="E204" s="155" t="s">
        <v>327</v>
      </c>
      <c r="F204" s="165">
        <v>41381</v>
      </c>
      <c r="G204" s="156" t="s">
        <v>360</v>
      </c>
      <c r="H204" s="156" t="s">
        <v>362</v>
      </c>
      <c r="I204" s="166">
        <v>547116.39</v>
      </c>
      <c r="J204" s="174">
        <v>1</v>
      </c>
      <c r="K204" s="159">
        <f>MONTH(Tabela1[[#This Row],[Data da Venda]])</f>
        <v>4</v>
      </c>
      <c r="L204" s="159">
        <f>YEAR(Tabela1[[#This Row],[Data da Venda]])</f>
        <v>2013</v>
      </c>
    </row>
    <row r="205" spans="1:12" ht="15" hidden="1" customHeight="1">
      <c r="A205" s="149" t="s">
        <v>89</v>
      </c>
      <c r="B205" s="150" t="s">
        <v>426</v>
      </c>
      <c r="C205" s="155">
        <v>111</v>
      </c>
      <c r="D205" s="155" t="s">
        <v>329</v>
      </c>
      <c r="E205" s="155" t="s">
        <v>339</v>
      </c>
      <c r="F205" s="156">
        <v>41381</v>
      </c>
      <c r="G205" s="156" t="s">
        <v>465</v>
      </c>
      <c r="H205" s="156" t="s">
        <v>33</v>
      </c>
      <c r="I205" s="157">
        <v>1080000</v>
      </c>
      <c r="J205" s="160">
        <v>0.5</v>
      </c>
      <c r="K205" s="159">
        <f>MONTH(Tabela1[[#This Row],[Data da Venda]])</f>
        <v>4</v>
      </c>
      <c r="L205" s="159">
        <f>YEAR(Tabela1[[#This Row],[Data da Venda]])</f>
        <v>2013</v>
      </c>
    </row>
    <row r="206" spans="1:12" ht="15" hidden="1" customHeight="1">
      <c r="A206" s="149" t="s">
        <v>89</v>
      </c>
      <c r="B206" s="150" t="s">
        <v>426</v>
      </c>
      <c r="C206" s="155">
        <v>111</v>
      </c>
      <c r="D206" s="155" t="s">
        <v>328</v>
      </c>
      <c r="E206" s="155" t="s">
        <v>339</v>
      </c>
      <c r="F206" s="156">
        <v>41381</v>
      </c>
      <c r="G206" s="156" t="s">
        <v>128</v>
      </c>
      <c r="H206" s="156" t="s">
        <v>79</v>
      </c>
      <c r="I206" s="157">
        <v>1080000</v>
      </c>
      <c r="J206" s="160">
        <v>0.5</v>
      </c>
      <c r="K206" s="159">
        <f>MONTH(Tabela1[[#This Row],[Data da Venda]])</f>
        <v>4</v>
      </c>
      <c r="L206" s="159">
        <f>YEAR(Tabela1[[#This Row],[Data da Venda]])</f>
        <v>2013</v>
      </c>
    </row>
    <row r="207" spans="1:12" ht="15" hidden="1" customHeight="1">
      <c r="A207" s="149" t="s">
        <v>208</v>
      </c>
      <c r="B207" s="150" t="s">
        <v>399</v>
      </c>
      <c r="C207" s="155">
        <v>198</v>
      </c>
      <c r="D207" s="155" t="s">
        <v>328</v>
      </c>
      <c r="E207" s="155" t="s">
        <v>339</v>
      </c>
      <c r="F207" s="156">
        <v>41383</v>
      </c>
      <c r="G207" s="156" t="s">
        <v>212</v>
      </c>
      <c r="H207" s="156" t="s">
        <v>23</v>
      </c>
      <c r="I207" s="157">
        <v>254200</v>
      </c>
      <c r="J207" s="160">
        <v>1</v>
      </c>
      <c r="K207" s="159">
        <f>MONTH(Tabela1[[#This Row],[Data da Venda]])</f>
        <v>4</v>
      </c>
      <c r="L207" s="159">
        <f>YEAR(Tabela1[[#This Row],[Data da Venda]])</f>
        <v>2013</v>
      </c>
    </row>
    <row r="208" spans="1:12" ht="15" hidden="1" customHeight="1">
      <c r="A208" s="149" t="s">
        <v>433</v>
      </c>
      <c r="B208" s="150" t="s">
        <v>434</v>
      </c>
      <c r="C208" s="155">
        <v>171</v>
      </c>
      <c r="D208" s="155" t="s">
        <v>328</v>
      </c>
      <c r="E208" s="155" t="s">
        <v>339</v>
      </c>
      <c r="F208" s="156">
        <v>41386</v>
      </c>
      <c r="G208" s="156" t="s">
        <v>308</v>
      </c>
      <c r="H208" s="156" t="s">
        <v>26</v>
      </c>
      <c r="I208" s="157">
        <v>2055000</v>
      </c>
      <c r="J208" s="160">
        <v>1</v>
      </c>
      <c r="K208" s="159">
        <f>MONTH(Tabela1[[#This Row],[Data da Venda]])</f>
        <v>4</v>
      </c>
      <c r="L208" s="159">
        <f>YEAR(Tabela1[[#This Row],[Data da Venda]])</f>
        <v>2013</v>
      </c>
    </row>
    <row r="209" spans="1:12" ht="15" hidden="1" customHeight="1">
      <c r="A209" s="149" t="s">
        <v>422</v>
      </c>
      <c r="B209" s="150" t="s">
        <v>407</v>
      </c>
      <c r="C209" s="155">
        <v>201</v>
      </c>
      <c r="D209" s="155" t="s">
        <v>328</v>
      </c>
      <c r="E209" s="155" t="s">
        <v>339</v>
      </c>
      <c r="F209" s="156">
        <v>41387</v>
      </c>
      <c r="G209" s="156" t="s">
        <v>40</v>
      </c>
      <c r="H209" s="156" t="s">
        <v>61</v>
      </c>
      <c r="I209" s="157">
        <v>880000</v>
      </c>
      <c r="J209" s="160">
        <v>1</v>
      </c>
      <c r="K209" s="159">
        <f>MONTH(Tabela1[[#This Row],[Data da Venda]])</f>
        <v>4</v>
      </c>
      <c r="L209" s="159">
        <f>YEAR(Tabela1[[#This Row],[Data da Venda]])</f>
        <v>2013</v>
      </c>
    </row>
    <row r="210" spans="1:12" ht="15" hidden="1" customHeight="1">
      <c r="A210" s="149" t="s">
        <v>53</v>
      </c>
      <c r="B210" s="150" t="s">
        <v>414</v>
      </c>
      <c r="C210" s="155">
        <v>66</v>
      </c>
      <c r="D210" s="155" t="s">
        <v>328</v>
      </c>
      <c r="E210" s="155" t="s">
        <v>339</v>
      </c>
      <c r="F210" s="156">
        <v>41389</v>
      </c>
      <c r="G210" s="156" t="s">
        <v>38</v>
      </c>
      <c r="H210" s="156" t="s">
        <v>23</v>
      </c>
      <c r="I210" s="157">
        <v>656450</v>
      </c>
      <c r="J210" s="160">
        <v>1</v>
      </c>
      <c r="K210" s="159">
        <f>MONTH(Tabela1[[#This Row],[Data da Venda]])</f>
        <v>4</v>
      </c>
      <c r="L210" s="159">
        <f>YEAR(Tabela1[[#This Row],[Data da Venda]])</f>
        <v>2013</v>
      </c>
    </row>
    <row r="211" spans="1:12" ht="15" hidden="1" customHeight="1">
      <c r="A211" s="149" t="s">
        <v>191</v>
      </c>
      <c r="B211" s="150" t="s">
        <v>401</v>
      </c>
      <c r="C211" s="155">
        <v>144</v>
      </c>
      <c r="D211" s="155" t="s">
        <v>328</v>
      </c>
      <c r="E211" s="155" t="s">
        <v>339</v>
      </c>
      <c r="F211" s="156">
        <v>41390</v>
      </c>
      <c r="G211" s="156" t="s">
        <v>200</v>
      </c>
      <c r="H211" s="156" t="s">
        <v>24</v>
      </c>
      <c r="I211" s="157">
        <v>200000</v>
      </c>
      <c r="J211" s="160">
        <v>1</v>
      </c>
      <c r="K211" s="159">
        <f>MONTH(Tabela1[[#This Row],[Data da Venda]])</f>
        <v>4</v>
      </c>
      <c r="L211" s="159">
        <f>YEAR(Tabela1[[#This Row],[Data da Venda]])</f>
        <v>2013</v>
      </c>
    </row>
    <row r="212" spans="1:12" ht="15" hidden="1" customHeight="1">
      <c r="A212" s="149" t="s">
        <v>53</v>
      </c>
      <c r="B212" s="150" t="s">
        <v>414</v>
      </c>
      <c r="C212" s="155">
        <v>55</v>
      </c>
      <c r="D212" s="155" t="s">
        <v>328</v>
      </c>
      <c r="E212" s="155" t="s">
        <v>339</v>
      </c>
      <c r="F212" s="156">
        <v>41391</v>
      </c>
      <c r="G212" s="156" t="s">
        <v>38</v>
      </c>
      <c r="H212" s="156" t="s">
        <v>23</v>
      </c>
      <c r="I212" s="157">
        <v>507306.6</v>
      </c>
      <c r="J212" s="160">
        <v>1</v>
      </c>
      <c r="K212" s="159">
        <f>MONTH(Tabela1[[#This Row],[Data da Venda]])</f>
        <v>4</v>
      </c>
      <c r="L212" s="159">
        <f>YEAR(Tabela1[[#This Row],[Data da Venda]])</f>
        <v>2013</v>
      </c>
    </row>
    <row r="213" spans="1:12" ht="15" hidden="1" customHeight="1">
      <c r="A213" s="149" t="s">
        <v>191</v>
      </c>
      <c r="B213" s="150" t="s">
        <v>435</v>
      </c>
      <c r="C213" s="155">
        <v>55</v>
      </c>
      <c r="D213" s="155" t="s">
        <v>328</v>
      </c>
      <c r="E213" s="155" t="s">
        <v>339</v>
      </c>
      <c r="F213" s="156">
        <v>41394</v>
      </c>
      <c r="G213" s="156" t="s">
        <v>19</v>
      </c>
      <c r="H213" s="156" t="s">
        <v>27</v>
      </c>
      <c r="I213" s="157">
        <v>235174.15</v>
      </c>
      <c r="J213" s="160">
        <v>1</v>
      </c>
      <c r="K213" s="159">
        <f>MONTH(Tabela1[[#This Row],[Data da Venda]])</f>
        <v>4</v>
      </c>
      <c r="L213" s="159">
        <f>YEAR(Tabela1[[#This Row],[Data da Venda]])</f>
        <v>2013</v>
      </c>
    </row>
    <row r="214" spans="1:12" ht="15" hidden="1" customHeight="1">
      <c r="A214" s="149" t="s">
        <v>208</v>
      </c>
      <c r="B214" s="150" t="s">
        <v>399</v>
      </c>
      <c r="C214" s="155">
        <v>182</v>
      </c>
      <c r="D214" s="155" t="s">
        <v>328</v>
      </c>
      <c r="E214" s="155" t="s">
        <v>339</v>
      </c>
      <c r="F214" s="156">
        <v>41394</v>
      </c>
      <c r="G214" s="172" t="s">
        <v>129</v>
      </c>
      <c r="H214" s="156" t="s">
        <v>61</v>
      </c>
      <c r="I214" s="157">
        <v>264800</v>
      </c>
      <c r="J214" s="160">
        <v>1</v>
      </c>
      <c r="K214" s="159">
        <f>MONTH(Tabela1[[#This Row],[Data da Venda]])</f>
        <v>4</v>
      </c>
      <c r="L214" s="159">
        <f>YEAR(Tabela1[[#This Row],[Data da Venda]])</f>
        <v>2013</v>
      </c>
    </row>
    <row r="215" spans="1:12" ht="15" hidden="1" customHeight="1">
      <c r="A215" s="149" t="s">
        <v>230</v>
      </c>
      <c r="B215" s="150" t="s">
        <v>410</v>
      </c>
      <c r="C215" s="155">
        <v>171</v>
      </c>
      <c r="D215" s="155" t="s">
        <v>329</v>
      </c>
      <c r="E215" s="155" t="s">
        <v>339</v>
      </c>
      <c r="F215" s="156">
        <v>41394</v>
      </c>
      <c r="G215" s="156" t="s">
        <v>465</v>
      </c>
      <c r="H215" s="156" t="s">
        <v>33</v>
      </c>
      <c r="I215" s="157">
        <v>400000</v>
      </c>
      <c r="J215" s="158">
        <v>1</v>
      </c>
      <c r="K215" s="159">
        <f>MONTH(Tabela1[[#This Row],[Data da Venda]])</f>
        <v>4</v>
      </c>
      <c r="L215" s="159">
        <f>YEAR(Tabela1[[#This Row],[Data da Venda]])</f>
        <v>2013</v>
      </c>
    </row>
    <row r="216" spans="1:12" ht="15" hidden="1" customHeight="1">
      <c r="A216" s="149" t="s">
        <v>53</v>
      </c>
      <c r="B216" s="150" t="s">
        <v>414</v>
      </c>
      <c r="C216" s="155">
        <v>44</v>
      </c>
      <c r="D216" s="155" t="s">
        <v>328</v>
      </c>
      <c r="E216" s="155" t="s">
        <v>339</v>
      </c>
      <c r="F216" s="156">
        <v>41394</v>
      </c>
      <c r="G216" s="156" t="s">
        <v>141</v>
      </c>
      <c r="H216" s="156" t="s">
        <v>24</v>
      </c>
      <c r="I216" s="157">
        <v>490000</v>
      </c>
      <c r="J216" s="160">
        <v>1</v>
      </c>
      <c r="K216" s="159">
        <f>MONTH(Tabela1[[#This Row],[Data da Venda]])</f>
        <v>4</v>
      </c>
      <c r="L216" s="159">
        <f>YEAR(Tabela1[[#This Row],[Data da Venda]])</f>
        <v>2013</v>
      </c>
    </row>
    <row r="217" spans="1:12" ht="15" hidden="1" customHeight="1">
      <c r="A217" s="149" t="s">
        <v>53</v>
      </c>
      <c r="B217" s="150" t="s">
        <v>436</v>
      </c>
      <c r="C217" s="155" t="s">
        <v>442</v>
      </c>
      <c r="D217" s="155" t="s">
        <v>328</v>
      </c>
      <c r="E217" s="155" t="s">
        <v>339</v>
      </c>
      <c r="F217" s="156">
        <v>41394</v>
      </c>
      <c r="G217" s="156" t="s">
        <v>141</v>
      </c>
      <c r="H217" s="156" t="s">
        <v>24</v>
      </c>
      <c r="I217" s="157">
        <v>29437.9</v>
      </c>
      <c r="J217" s="160">
        <v>1</v>
      </c>
      <c r="K217" s="159">
        <f>MONTH(Tabela1[[#This Row],[Data da Venda]])</f>
        <v>4</v>
      </c>
      <c r="L217" s="159">
        <f>YEAR(Tabela1[[#This Row],[Data da Venda]])</f>
        <v>2013</v>
      </c>
    </row>
    <row r="218" spans="1:12" ht="15" hidden="1" customHeight="1">
      <c r="A218" s="149" t="s">
        <v>89</v>
      </c>
      <c r="B218" s="150" t="s">
        <v>426</v>
      </c>
      <c r="C218" s="155">
        <v>71</v>
      </c>
      <c r="D218" s="155" t="s">
        <v>329</v>
      </c>
      <c r="E218" s="155" t="s">
        <v>339</v>
      </c>
      <c r="F218" s="156">
        <v>41394</v>
      </c>
      <c r="G218" s="156" t="s">
        <v>465</v>
      </c>
      <c r="H218" s="156" t="s">
        <v>33</v>
      </c>
      <c r="I218" s="157">
        <v>2100000</v>
      </c>
      <c r="J218" s="160">
        <v>1</v>
      </c>
      <c r="K218" s="159">
        <f>MONTH(Tabela1[[#This Row],[Data da Venda]])</f>
        <v>4</v>
      </c>
      <c r="L218" s="159">
        <f>YEAR(Tabela1[[#This Row],[Data da Venda]])</f>
        <v>2013</v>
      </c>
    </row>
    <row r="219" spans="1:12" ht="15" hidden="1" customHeight="1">
      <c r="A219" s="149" t="s">
        <v>182</v>
      </c>
      <c r="B219" s="150" t="s">
        <v>389</v>
      </c>
      <c r="C219" s="155">
        <v>57</v>
      </c>
      <c r="D219" s="155" t="s">
        <v>328</v>
      </c>
      <c r="E219" s="155" t="s">
        <v>339</v>
      </c>
      <c r="F219" s="156">
        <v>41396</v>
      </c>
      <c r="G219" s="156" t="s">
        <v>17</v>
      </c>
      <c r="H219" s="156" t="s">
        <v>25</v>
      </c>
      <c r="I219" s="157">
        <v>180000</v>
      </c>
      <c r="J219" s="160">
        <v>1</v>
      </c>
      <c r="K219" s="159">
        <f>MONTH(Tabela1[[#This Row],[Data da Venda]])</f>
        <v>5</v>
      </c>
      <c r="L219" s="159">
        <f>YEAR(Tabela1[[#This Row],[Data da Venda]])</f>
        <v>2013</v>
      </c>
    </row>
    <row r="220" spans="1:12" ht="15" hidden="1" customHeight="1">
      <c r="A220" s="151" t="s">
        <v>186</v>
      </c>
      <c r="B220" s="150" t="s">
        <v>418</v>
      </c>
      <c r="C220" s="155">
        <v>1108</v>
      </c>
      <c r="D220" s="155" t="s">
        <v>328</v>
      </c>
      <c r="E220" s="155" t="s">
        <v>339</v>
      </c>
      <c r="F220" s="156">
        <v>41396</v>
      </c>
      <c r="G220" s="156" t="s">
        <v>187</v>
      </c>
      <c r="H220" s="156" t="s">
        <v>27</v>
      </c>
      <c r="I220" s="157">
        <v>400000</v>
      </c>
      <c r="J220" s="160">
        <v>1</v>
      </c>
      <c r="K220" s="159">
        <f>MONTH(Tabela1[[#This Row],[Data da Venda]])</f>
        <v>5</v>
      </c>
      <c r="L220" s="159">
        <f>YEAR(Tabela1[[#This Row],[Data da Venda]])</f>
        <v>2013</v>
      </c>
    </row>
    <row r="221" spans="1:12" ht="15" hidden="1" customHeight="1">
      <c r="A221" s="151" t="s">
        <v>186</v>
      </c>
      <c r="B221" s="150" t="s">
        <v>418</v>
      </c>
      <c r="C221" s="155">
        <v>1109</v>
      </c>
      <c r="D221" s="155" t="s">
        <v>328</v>
      </c>
      <c r="E221" s="155" t="s">
        <v>339</v>
      </c>
      <c r="F221" s="156">
        <v>41396</v>
      </c>
      <c r="G221" s="156" t="s">
        <v>187</v>
      </c>
      <c r="H221" s="156" t="s">
        <v>27</v>
      </c>
      <c r="I221" s="157">
        <v>400000</v>
      </c>
      <c r="J221" s="160">
        <v>1</v>
      </c>
      <c r="K221" s="159">
        <f>MONTH(Tabela1[[#This Row],[Data da Venda]])</f>
        <v>5</v>
      </c>
      <c r="L221" s="159">
        <f>YEAR(Tabela1[[#This Row],[Data da Venda]])</f>
        <v>2013</v>
      </c>
    </row>
    <row r="222" spans="1:12" ht="15" hidden="1" customHeight="1">
      <c r="A222" s="149" t="s">
        <v>419</v>
      </c>
      <c r="B222" s="150" t="s">
        <v>454</v>
      </c>
      <c r="C222" s="155">
        <v>1006</v>
      </c>
      <c r="D222" s="155" t="s">
        <v>327</v>
      </c>
      <c r="E222" s="155" t="s">
        <v>327</v>
      </c>
      <c r="F222" s="156">
        <v>41396</v>
      </c>
      <c r="G222" s="156" t="s">
        <v>361</v>
      </c>
      <c r="H222" s="156" t="s">
        <v>362</v>
      </c>
      <c r="I222" s="157">
        <v>605243.55000000005</v>
      </c>
      <c r="J222" s="160">
        <v>1</v>
      </c>
      <c r="K222" s="159">
        <f>MONTH(Tabela1[[#This Row],[Data da Venda]])</f>
        <v>5</v>
      </c>
      <c r="L222" s="159">
        <f>YEAR(Tabela1[[#This Row],[Data da Venda]])</f>
        <v>2013</v>
      </c>
    </row>
    <row r="223" spans="1:12" ht="15" hidden="1" customHeight="1">
      <c r="A223" s="149" t="s">
        <v>422</v>
      </c>
      <c r="B223" s="150" t="s">
        <v>407</v>
      </c>
      <c r="C223" s="155">
        <v>211</v>
      </c>
      <c r="D223" s="155" t="s">
        <v>328</v>
      </c>
      <c r="E223" s="155" t="s">
        <v>339</v>
      </c>
      <c r="F223" s="156">
        <v>41396</v>
      </c>
      <c r="G223" s="156" t="s">
        <v>40</v>
      </c>
      <c r="H223" s="156" t="s">
        <v>61</v>
      </c>
      <c r="I223" s="157">
        <f>850000</f>
        <v>850000</v>
      </c>
      <c r="J223" s="160">
        <v>1</v>
      </c>
      <c r="K223" s="159">
        <f>MONTH(Tabela1[[#This Row],[Data da Venda]])</f>
        <v>5</v>
      </c>
      <c r="L223" s="159">
        <f>YEAR(Tabela1[[#This Row],[Data da Venda]])</f>
        <v>2013</v>
      </c>
    </row>
    <row r="224" spans="1:12" ht="15" hidden="1" customHeight="1">
      <c r="A224" s="149" t="s">
        <v>182</v>
      </c>
      <c r="B224" s="150" t="s">
        <v>400</v>
      </c>
      <c r="C224" s="155">
        <v>43</v>
      </c>
      <c r="D224" s="155" t="s">
        <v>328</v>
      </c>
      <c r="E224" s="155" t="s">
        <v>339</v>
      </c>
      <c r="F224" s="156">
        <v>41397</v>
      </c>
      <c r="G224" s="156" t="s">
        <v>18</v>
      </c>
      <c r="H224" s="156" t="s">
        <v>25</v>
      </c>
      <c r="I224" s="157">
        <v>180000</v>
      </c>
      <c r="J224" s="160">
        <v>1</v>
      </c>
      <c r="K224" s="159">
        <f>MONTH(Tabela1[[#This Row],[Data da Venda]])</f>
        <v>5</v>
      </c>
      <c r="L224" s="159">
        <f>YEAR(Tabela1[[#This Row],[Data da Venda]])</f>
        <v>2013</v>
      </c>
    </row>
    <row r="225" spans="1:12" ht="15" hidden="1" customHeight="1">
      <c r="A225" s="151" t="s">
        <v>420</v>
      </c>
      <c r="B225" s="150" t="s">
        <v>421</v>
      </c>
      <c r="C225" s="164">
        <v>703</v>
      </c>
      <c r="D225" s="155" t="s">
        <v>327</v>
      </c>
      <c r="E225" s="155" t="s">
        <v>327</v>
      </c>
      <c r="F225" s="165">
        <v>41399</v>
      </c>
      <c r="G225" s="156" t="s">
        <v>360</v>
      </c>
      <c r="H225" s="156" t="s">
        <v>362</v>
      </c>
      <c r="I225" s="166">
        <v>487543.16</v>
      </c>
      <c r="J225" s="164">
        <v>1</v>
      </c>
      <c r="K225" s="159">
        <f>MONTH(Tabela1[[#This Row],[Data da Venda]])</f>
        <v>5</v>
      </c>
      <c r="L225" s="159">
        <f>YEAR(Tabela1[[#This Row],[Data da Venda]])</f>
        <v>2013</v>
      </c>
    </row>
    <row r="226" spans="1:12" ht="15" hidden="1" customHeight="1">
      <c r="A226" s="162" t="s">
        <v>447</v>
      </c>
      <c r="B226" s="164" t="s">
        <v>397</v>
      </c>
      <c r="C226" s="155">
        <v>94</v>
      </c>
      <c r="D226" s="155" t="s">
        <v>329</v>
      </c>
      <c r="E226" s="155" t="s">
        <v>339</v>
      </c>
      <c r="F226" s="156">
        <v>41400</v>
      </c>
      <c r="G226" s="156" t="s">
        <v>337</v>
      </c>
      <c r="H226" s="156" t="s">
        <v>33</v>
      </c>
      <c r="I226" s="157">
        <v>920001.09</v>
      </c>
      <c r="J226" s="158">
        <v>1</v>
      </c>
      <c r="K226" s="159">
        <f>MONTH(Tabela1[[#This Row],[Data da Venda]])</f>
        <v>5</v>
      </c>
      <c r="L226" s="159">
        <f>YEAR(Tabela1[[#This Row],[Data da Venda]])</f>
        <v>2013</v>
      </c>
    </row>
    <row r="227" spans="1:12" ht="15" hidden="1" customHeight="1">
      <c r="A227" s="149" t="s">
        <v>89</v>
      </c>
      <c r="B227" s="150" t="s">
        <v>426</v>
      </c>
      <c r="C227" s="155">
        <v>41</v>
      </c>
      <c r="D227" s="155" t="s">
        <v>328</v>
      </c>
      <c r="E227" s="155" t="s">
        <v>339</v>
      </c>
      <c r="F227" s="156">
        <v>41401</v>
      </c>
      <c r="G227" s="156" t="s">
        <v>187</v>
      </c>
      <c r="H227" s="156" t="s">
        <v>27</v>
      </c>
      <c r="I227" s="157">
        <v>2085000</v>
      </c>
      <c r="J227" s="160">
        <v>1</v>
      </c>
      <c r="K227" s="159">
        <f>MONTH(Tabela1[[#This Row],[Data da Venda]])</f>
        <v>5</v>
      </c>
      <c r="L227" s="159">
        <f>YEAR(Tabela1[[#This Row],[Data da Venda]])</f>
        <v>2013</v>
      </c>
    </row>
    <row r="228" spans="1:12" ht="15" hidden="1" customHeight="1">
      <c r="A228" s="149" t="s">
        <v>53</v>
      </c>
      <c r="B228" s="150" t="s">
        <v>414</v>
      </c>
      <c r="C228" s="155">
        <v>108</v>
      </c>
      <c r="D228" s="155" t="s">
        <v>328</v>
      </c>
      <c r="E228" s="155" t="s">
        <v>339</v>
      </c>
      <c r="F228" s="156">
        <v>41402</v>
      </c>
      <c r="G228" s="156" t="s">
        <v>44</v>
      </c>
      <c r="H228" s="156" t="s">
        <v>25</v>
      </c>
      <c r="I228" s="157">
        <v>564306.81000000006</v>
      </c>
      <c r="J228" s="160">
        <v>1</v>
      </c>
      <c r="K228" s="159">
        <f>MONTH(Tabela1[[#This Row],[Data da Venda]])</f>
        <v>5</v>
      </c>
      <c r="L228" s="159">
        <f>YEAR(Tabela1[[#This Row],[Data da Venda]])</f>
        <v>2013</v>
      </c>
    </row>
    <row r="229" spans="1:12" ht="15" hidden="1" customHeight="1">
      <c r="A229" s="149" t="s">
        <v>53</v>
      </c>
      <c r="B229" s="150" t="s">
        <v>436</v>
      </c>
      <c r="C229" s="155" t="s">
        <v>443</v>
      </c>
      <c r="D229" s="155" t="s">
        <v>328</v>
      </c>
      <c r="E229" s="155" t="s">
        <v>339</v>
      </c>
      <c r="F229" s="156">
        <v>41402</v>
      </c>
      <c r="G229" s="156" t="s">
        <v>44</v>
      </c>
      <c r="H229" s="156" t="s">
        <v>25</v>
      </c>
      <c r="I229" s="157">
        <v>35067.599999999999</v>
      </c>
      <c r="J229" s="160">
        <v>1</v>
      </c>
      <c r="K229" s="159">
        <f>MONTH(Tabela1[[#This Row],[Data da Venda]])</f>
        <v>5</v>
      </c>
      <c r="L229" s="159">
        <f>YEAR(Tabela1[[#This Row],[Data da Venda]])</f>
        <v>2013</v>
      </c>
    </row>
    <row r="230" spans="1:12" ht="15" hidden="1" customHeight="1">
      <c r="A230" s="151" t="s">
        <v>186</v>
      </c>
      <c r="B230" s="150" t="s">
        <v>418</v>
      </c>
      <c r="C230" s="155">
        <v>412</v>
      </c>
      <c r="D230" s="155" t="s">
        <v>328</v>
      </c>
      <c r="E230" s="155" t="s">
        <v>339</v>
      </c>
      <c r="F230" s="156">
        <v>41402</v>
      </c>
      <c r="G230" s="156" t="s">
        <v>206</v>
      </c>
      <c r="H230" s="156" t="s">
        <v>25</v>
      </c>
      <c r="I230" s="157">
        <v>367400</v>
      </c>
      <c r="J230" s="160">
        <v>1</v>
      </c>
      <c r="K230" s="159">
        <f>MONTH(Tabela1[[#This Row],[Data da Venda]])</f>
        <v>5</v>
      </c>
      <c r="L230" s="159">
        <f>YEAR(Tabela1[[#This Row],[Data da Venda]])</f>
        <v>2013</v>
      </c>
    </row>
    <row r="231" spans="1:12" ht="15" hidden="1" customHeight="1">
      <c r="A231" s="151" t="s">
        <v>186</v>
      </c>
      <c r="B231" s="150" t="s">
        <v>418</v>
      </c>
      <c r="C231" s="155">
        <v>708</v>
      </c>
      <c r="D231" s="155" t="s">
        <v>328</v>
      </c>
      <c r="E231" s="155" t="s">
        <v>339</v>
      </c>
      <c r="F231" s="156">
        <v>41402</v>
      </c>
      <c r="G231" s="156" t="s">
        <v>194</v>
      </c>
      <c r="H231" s="156" t="s">
        <v>27</v>
      </c>
      <c r="I231" s="157">
        <v>417381.38</v>
      </c>
      <c r="J231" s="160">
        <v>1</v>
      </c>
      <c r="K231" s="159">
        <f>MONTH(Tabela1[[#This Row],[Data da Venda]])</f>
        <v>5</v>
      </c>
      <c r="L231" s="159">
        <f>YEAR(Tabela1[[#This Row],[Data da Venda]])</f>
        <v>2013</v>
      </c>
    </row>
    <row r="232" spans="1:12" ht="15" hidden="1" customHeight="1">
      <c r="A232" s="151" t="s">
        <v>186</v>
      </c>
      <c r="B232" s="150" t="s">
        <v>418</v>
      </c>
      <c r="C232" s="155">
        <v>709</v>
      </c>
      <c r="D232" s="155" t="s">
        <v>328</v>
      </c>
      <c r="E232" s="155" t="s">
        <v>339</v>
      </c>
      <c r="F232" s="156">
        <v>41402</v>
      </c>
      <c r="G232" s="156" t="s">
        <v>194</v>
      </c>
      <c r="H232" s="156" t="s">
        <v>27</v>
      </c>
      <c r="I232" s="157">
        <v>417381.38</v>
      </c>
      <c r="J232" s="160">
        <v>1</v>
      </c>
      <c r="K232" s="159">
        <f>MONTH(Tabela1[[#This Row],[Data da Venda]])</f>
        <v>5</v>
      </c>
      <c r="L232" s="159">
        <f>YEAR(Tabela1[[#This Row],[Data da Venda]])</f>
        <v>2013</v>
      </c>
    </row>
    <row r="233" spans="1:12" ht="15" hidden="1" customHeight="1">
      <c r="A233" s="149" t="s">
        <v>422</v>
      </c>
      <c r="B233" s="150" t="s">
        <v>407</v>
      </c>
      <c r="C233" s="155">
        <v>191</v>
      </c>
      <c r="D233" s="155" t="s">
        <v>328</v>
      </c>
      <c r="E233" s="155" t="s">
        <v>339</v>
      </c>
      <c r="F233" s="156">
        <v>41402</v>
      </c>
      <c r="G233" s="156" t="s">
        <v>34</v>
      </c>
      <c r="H233" s="156" t="s">
        <v>24</v>
      </c>
      <c r="I233" s="157">
        <v>880000</v>
      </c>
      <c r="J233" s="160">
        <v>1</v>
      </c>
      <c r="K233" s="159">
        <f>MONTH(Tabela1[[#This Row],[Data da Venda]])</f>
        <v>5</v>
      </c>
      <c r="L233" s="159">
        <f>YEAR(Tabela1[[#This Row],[Data da Venda]])</f>
        <v>2013</v>
      </c>
    </row>
    <row r="234" spans="1:12" ht="15" hidden="1" customHeight="1">
      <c r="A234" s="149" t="s">
        <v>415</v>
      </c>
      <c r="B234" s="150" t="s">
        <v>416</v>
      </c>
      <c r="C234" s="155">
        <v>506</v>
      </c>
      <c r="D234" s="155" t="s">
        <v>328</v>
      </c>
      <c r="E234" s="155" t="s">
        <v>340</v>
      </c>
      <c r="F234" s="156">
        <v>41403</v>
      </c>
      <c r="G234" s="156" t="s">
        <v>63</v>
      </c>
      <c r="H234" s="156" t="s">
        <v>25</v>
      </c>
      <c r="I234" s="157">
        <v>361938</v>
      </c>
      <c r="J234" s="160">
        <v>1</v>
      </c>
      <c r="K234" s="159">
        <f>MONTH(Tabela1[[#This Row],[Data da Venda]])</f>
        <v>5</v>
      </c>
      <c r="L234" s="159">
        <f>YEAR(Tabela1[[#This Row],[Data da Venda]])</f>
        <v>2013</v>
      </c>
    </row>
    <row r="235" spans="1:12" ht="15" hidden="1" customHeight="1">
      <c r="A235" s="149" t="s">
        <v>415</v>
      </c>
      <c r="B235" s="150" t="s">
        <v>416</v>
      </c>
      <c r="C235" s="155">
        <v>2513</v>
      </c>
      <c r="D235" s="155" t="s">
        <v>329</v>
      </c>
      <c r="E235" s="155" t="s">
        <v>340</v>
      </c>
      <c r="F235" s="156">
        <v>41403</v>
      </c>
      <c r="G235" s="156" t="s">
        <v>465</v>
      </c>
      <c r="H235" s="156" t="s">
        <v>33</v>
      </c>
      <c r="I235" s="157">
        <v>491214.29</v>
      </c>
      <c r="J235" s="160">
        <v>1</v>
      </c>
      <c r="K235" s="159">
        <f>MONTH(Tabela1[[#This Row],[Data da Venda]])</f>
        <v>5</v>
      </c>
      <c r="L235" s="159">
        <f>YEAR(Tabela1[[#This Row],[Data da Venda]])</f>
        <v>2013</v>
      </c>
    </row>
    <row r="236" spans="1:12" ht="15" hidden="1" customHeight="1">
      <c r="A236" s="149" t="s">
        <v>415</v>
      </c>
      <c r="B236" s="150" t="s">
        <v>416</v>
      </c>
      <c r="C236" s="155">
        <v>2612</v>
      </c>
      <c r="D236" s="155" t="s">
        <v>329</v>
      </c>
      <c r="E236" s="155" t="s">
        <v>340</v>
      </c>
      <c r="F236" s="156">
        <v>41403</v>
      </c>
      <c r="G236" s="156" t="s">
        <v>465</v>
      </c>
      <c r="H236" s="156" t="s">
        <v>33</v>
      </c>
      <c r="I236" s="157">
        <v>684512</v>
      </c>
      <c r="J236" s="160">
        <v>1</v>
      </c>
      <c r="K236" s="159">
        <f>MONTH(Tabela1[[#This Row],[Data da Venda]])</f>
        <v>5</v>
      </c>
      <c r="L236" s="159">
        <f>YEAR(Tabela1[[#This Row],[Data da Venda]])</f>
        <v>2013</v>
      </c>
    </row>
    <row r="237" spans="1:12" ht="15" hidden="1" customHeight="1">
      <c r="A237" s="149" t="s">
        <v>432</v>
      </c>
      <c r="B237" s="150" t="s">
        <v>413</v>
      </c>
      <c r="C237" s="155">
        <v>61</v>
      </c>
      <c r="D237" s="155" t="s">
        <v>328</v>
      </c>
      <c r="E237" s="155" t="s">
        <v>339</v>
      </c>
      <c r="F237" s="156">
        <v>41404</v>
      </c>
      <c r="G237" s="156" t="s">
        <v>18</v>
      </c>
      <c r="H237" s="156" t="s">
        <v>25</v>
      </c>
      <c r="I237" s="157">
        <v>222000.02</v>
      </c>
      <c r="J237" s="160">
        <v>1</v>
      </c>
      <c r="K237" s="159">
        <f>MONTH(Tabela1[[#This Row],[Data da Venda]])</f>
        <v>5</v>
      </c>
      <c r="L237" s="159">
        <f>YEAR(Tabela1[[#This Row],[Data da Venda]])</f>
        <v>2013</v>
      </c>
    </row>
    <row r="238" spans="1:12" ht="15" hidden="1" customHeight="1">
      <c r="A238" s="149" t="s">
        <v>415</v>
      </c>
      <c r="B238" s="150" t="s">
        <v>416</v>
      </c>
      <c r="C238" s="155">
        <v>514</v>
      </c>
      <c r="D238" s="155" t="s">
        <v>328</v>
      </c>
      <c r="E238" s="155" t="s">
        <v>340</v>
      </c>
      <c r="F238" s="156">
        <v>41406</v>
      </c>
      <c r="G238" s="156" t="s">
        <v>80</v>
      </c>
      <c r="H238" s="156" t="s">
        <v>23</v>
      </c>
      <c r="I238" s="157">
        <v>362229.56</v>
      </c>
      <c r="J238" s="160">
        <v>1</v>
      </c>
      <c r="K238" s="159">
        <f>MONTH(Tabela1[[#This Row],[Data da Venda]])</f>
        <v>5</v>
      </c>
      <c r="L238" s="159">
        <f>YEAR(Tabela1[[#This Row],[Data da Venda]])</f>
        <v>2013</v>
      </c>
    </row>
    <row r="239" spans="1:12" ht="15" hidden="1" customHeight="1">
      <c r="A239" s="149" t="s">
        <v>415</v>
      </c>
      <c r="B239" s="150" t="s">
        <v>416</v>
      </c>
      <c r="C239" s="155">
        <v>1005</v>
      </c>
      <c r="D239" s="155" t="s">
        <v>328</v>
      </c>
      <c r="E239" s="155" t="s">
        <v>340</v>
      </c>
      <c r="F239" s="156">
        <v>41406</v>
      </c>
      <c r="G239" s="156" t="s">
        <v>72</v>
      </c>
      <c r="H239" s="156" t="s">
        <v>24</v>
      </c>
      <c r="I239" s="157">
        <v>635950</v>
      </c>
      <c r="J239" s="160">
        <v>1</v>
      </c>
      <c r="K239" s="159">
        <f>MONTH(Tabela1[[#This Row],[Data da Venda]])</f>
        <v>5</v>
      </c>
      <c r="L239" s="159">
        <f>YEAR(Tabela1[[#This Row],[Data da Venda]])</f>
        <v>2013</v>
      </c>
    </row>
    <row r="240" spans="1:12" ht="15" hidden="1" customHeight="1">
      <c r="A240" s="149" t="s">
        <v>53</v>
      </c>
      <c r="B240" s="150" t="s">
        <v>414</v>
      </c>
      <c r="C240" s="155">
        <v>82</v>
      </c>
      <c r="D240" s="155" t="s">
        <v>328</v>
      </c>
      <c r="E240" s="155" t="s">
        <v>339</v>
      </c>
      <c r="F240" s="156">
        <v>41407</v>
      </c>
      <c r="G240" s="156" t="s">
        <v>207</v>
      </c>
      <c r="H240" s="156" t="s">
        <v>79</v>
      </c>
      <c r="I240" s="157">
        <v>519000</v>
      </c>
      <c r="J240" s="160">
        <v>1</v>
      </c>
      <c r="K240" s="159">
        <f>MONTH(Tabela1[[#This Row],[Data da Venda]])</f>
        <v>5</v>
      </c>
      <c r="L240" s="159">
        <f>YEAR(Tabela1[[#This Row],[Data da Venda]])</f>
        <v>2013</v>
      </c>
    </row>
    <row r="241" spans="1:12" ht="15" hidden="1" customHeight="1">
      <c r="A241" s="149" t="s">
        <v>415</v>
      </c>
      <c r="B241" s="150" t="s">
        <v>416</v>
      </c>
      <c r="C241" s="155">
        <v>502</v>
      </c>
      <c r="D241" s="155" t="s">
        <v>328</v>
      </c>
      <c r="E241" s="155" t="s">
        <v>340</v>
      </c>
      <c r="F241" s="156">
        <v>41407</v>
      </c>
      <c r="G241" s="156" t="s">
        <v>218</v>
      </c>
      <c r="H241" s="156" t="s">
        <v>26</v>
      </c>
      <c r="I241" s="157">
        <v>176451.06</v>
      </c>
      <c r="J241" s="160">
        <v>0.5</v>
      </c>
      <c r="K241" s="159">
        <f>MONTH(Tabela1[[#This Row],[Data da Venda]])</f>
        <v>5</v>
      </c>
      <c r="L241" s="159">
        <f>YEAR(Tabela1[[#This Row],[Data da Venda]])</f>
        <v>2013</v>
      </c>
    </row>
    <row r="242" spans="1:12" ht="15" hidden="1" customHeight="1">
      <c r="A242" s="149" t="s">
        <v>415</v>
      </c>
      <c r="B242" s="150" t="s">
        <v>416</v>
      </c>
      <c r="C242" s="155">
        <v>502</v>
      </c>
      <c r="D242" s="155" t="s">
        <v>328</v>
      </c>
      <c r="E242" s="155" t="s">
        <v>340</v>
      </c>
      <c r="F242" s="156">
        <v>41407</v>
      </c>
      <c r="G242" s="156" t="s">
        <v>206</v>
      </c>
      <c r="H242" s="156" t="s">
        <v>25</v>
      </c>
      <c r="I242" s="157">
        <v>176451.06</v>
      </c>
      <c r="J242" s="160">
        <v>0.5</v>
      </c>
      <c r="K242" s="159">
        <f>MONTH(Tabela1[[#This Row],[Data da Venda]])</f>
        <v>5</v>
      </c>
      <c r="L242" s="159">
        <f>YEAR(Tabela1[[#This Row],[Data da Venda]])</f>
        <v>2013</v>
      </c>
    </row>
    <row r="243" spans="1:12" ht="15" hidden="1" customHeight="1">
      <c r="A243" s="149" t="s">
        <v>415</v>
      </c>
      <c r="B243" s="150" t="s">
        <v>416</v>
      </c>
      <c r="C243" s="155">
        <v>706</v>
      </c>
      <c r="D243" s="155" t="s">
        <v>328</v>
      </c>
      <c r="E243" s="155" t="s">
        <v>340</v>
      </c>
      <c r="F243" s="156">
        <v>41407</v>
      </c>
      <c r="G243" s="156" t="s">
        <v>218</v>
      </c>
      <c r="H243" s="156" t="s">
        <v>26</v>
      </c>
      <c r="I243" s="157">
        <v>303812</v>
      </c>
      <c r="J243" s="160">
        <v>1</v>
      </c>
      <c r="K243" s="159">
        <f>MONTH(Tabela1[[#This Row],[Data da Venda]])</f>
        <v>5</v>
      </c>
      <c r="L243" s="159">
        <f>YEAR(Tabela1[[#This Row],[Data da Venda]])</f>
        <v>2013</v>
      </c>
    </row>
    <row r="244" spans="1:12" ht="15" hidden="1" customHeight="1">
      <c r="A244" s="149" t="s">
        <v>415</v>
      </c>
      <c r="B244" s="150" t="s">
        <v>416</v>
      </c>
      <c r="C244" s="155">
        <v>715</v>
      </c>
      <c r="D244" s="155" t="s">
        <v>328</v>
      </c>
      <c r="E244" s="155" t="s">
        <v>340</v>
      </c>
      <c r="F244" s="156">
        <v>41407</v>
      </c>
      <c r="G244" s="156" t="s">
        <v>206</v>
      </c>
      <c r="H244" s="156" t="s">
        <v>25</v>
      </c>
      <c r="I244" s="157">
        <v>303812</v>
      </c>
      <c r="J244" s="160">
        <v>1</v>
      </c>
      <c r="K244" s="159">
        <f>MONTH(Tabela1[[#This Row],[Data da Venda]])</f>
        <v>5</v>
      </c>
      <c r="L244" s="159">
        <f>YEAR(Tabela1[[#This Row],[Data da Venda]])</f>
        <v>2013</v>
      </c>
    </row>
    <row r="245" spans="1:12" ht="15" hidden="1" customHeight="1">
      <c r="A245" s="149" t="s">
        <v>415</v>
      </c>
      <c r="B245" s="150" t="s">
        <v>416</v>
      </c>
      <c r="C245" s="155">
        <v>1401</v>
      </c>
      <c r="D245" s="155" t="s">
        <v>328</v>
      </c>
      <c r="E245" s="155" t="s">
        <v>340</v>
      </c>
      <c r="F245" s="156">
        <v>41407</v>
      </c>
      <c r="G245" s="156" t="s">
        <v>60</v>
      </c>
      <c r="H245" s="156" t="s">
        <v>24</v>
      </c>
      <c r="I245" s="157">
        <v>370115.96</v>
      </c>
      <c r="J245" s="160">
        <v>1</v>
      </c>
      <c r="K245" s="159">
        <f>MONTH(Tabela1[[#This Row],[Data da Venda]])</f>
        <v>5</v>
      </c>
      <c r="L245" s="159">
        <f>YEAR(Tabela1[[#This Row],[Data da Venda]])</f>
        <v>2013</v>
      </c>
    </row>
    <row r="246" spans="1:12" ht="15" hidden="1" customHeight="1">
      <c r="A246" s="149" t="s">
        <v>415</v>
      </c>
      <c r="B246" s="150" t="s">
        <v>416</v>
      </c>
      <c r="C246" s="155">
        <v>1403</v>
      </c>
      <c r="D246" s="155" t="s">
        <v>328</v>
      </c>
      <c r="E246" s="155" t="s">
        <v>340</v>
      </c>
      <c r="F246" s="156">
        <v>41407</v>
      </c>
      <c r="G246" s="156" t="s">
        <v>150</v>
      </c>
      <c r="H246" s="156" t="s">
        <v>61</v>
      </c>
      <c r="I246" s="157">
        <v>327888.90000000002</v>
      </c>
      <c r="J246" s="160">
        <v>1</v>
      </c>
      <c r="K246" s="159">
        <f>MONTH(Tabela1[[#This Row],[Data da Venda]])</f>
        <v>5</v>
      </c>
      <c r="L246" s="159">
        <f>YEAR(Tabela1[[#This Row],[Data da Venda]])</f>
        <v>2013</v>
      </c>
    </row>
    <row r="247" spans="1:12" ht="15" hidden="1" customHeight="1">
      <c r="A247" s="149" t="s">
        <v>415</v>
      </c>
      <c r="B247" s="150" t="s">
        <v>416</v>
      </c>
      <c r="C247" s="155">
        <v>1411</v>
      </c>
      <c r="D247" s="155" t="s">
        <v>328</v>
      </c>
      <c r="E247" s="155" t="s">
        <v>340</v>
      </c>
      <c r="F247" s="156">
        <v>41407</v>
      </c>
      <c r="G247" s="156" t="s">
        <v>152</v>
      </c>
      <c r="H247" s="156" t="s">
        <v>61</v>
      </c>
      <c r="I247" s="157">
        <v>370940</v>
      </c>
      <c r="J247" s="160">
        <v>1</v>
      </c>
      <c r="K247" s="159">
        <f>MONTH(Tabela1[[#This Row],[Data da Venda]])</f>
        <v>5</v>
      </c>
      <c r="L247" s="159">
        <f>YEAR(Tabela1[[#This Row],[Data da Venda]])</f>
        <v>2013</v>
      </c>
    </row>
    <row r="248" spans="1:12" ht="15" hidden="1" customHeight="1">
      <c r="A248" s="149" t="s">
        <v>415</v>
      </c>
      <c r="B248" s="150" t="s">
        <v>416</v>
      </c>
      <c r="C248" s="155">
        <v>1802</v>
      </c>
      <c r="D248" s="155" t="s">
        <v>328</v>
      </c>
      <c r="E248" s="155" t="s">
        <v>340</v>
      </c>
      <c r="F248" s="156">
        <v>41407</v>
      </c>
      <c r="G248" s="156" t="s">
        <v>150</v>
      </c>
      <c r="H248" s="156" t="s">
        <v>61</v>
      </c>
      <c r="I248" s="157">
        <v>332925</v>
      </c>
      <c r="J248" s="160">
        <v>1</v>
      </c>
      <c r="K248" s="159">
        <f>MONTH(Tabela1[[#This Row],[Data da Venda]])</f>
        <v>5</v>
      </c>
      <c r="L248" s="159">
        <f>YEAR(Tabela1[[#This Row],[Data da Venda]])</f>
        <v>2013</v>
      </c>
    </row>
    <row r="249" spans="1:12" ht="15" hidden="1" customHeight="1">
      <c r="A249" s="149" t="s">
        <v>415</v>
      </c>
      <c r="B249" s="150" t="s">
        <v>416</v>
      </c>
      <c r="C249" s="155">
        <v>1813</v>
      </c>
      <c r="D249" s="155" t="s">
        <v>328</v>
      </c>
      <c r="E249" s="155" t="s">
        <v>340</v>
      </c>
      <c r="F249" s="156">
        <v>41407</v>
      </c>
      <c r="G249" s="156" t="s">
        <v>84</v>
      </c>
      <c r="H249" s="156" t="s">
        <v>61</v>
      </c>
      <c r="I249" s="157">
        <v>502035.15</v>
      </c>
      <c r="J249" s="160">
        <v>1</v>
      </c>
      <c r="K249" s="159">
        <f>MONTH(Tabela1[[#This Row],[Data da Venda]])</f>
        <v>5</v>
      </c>
      <c r="L249" s="159">
        <f>YEAR(Tabela1[[#This Row],[Data da Venda]])</f>
        <v>2013</v>
      </c>
    </row>
    <row r="250" spans="1:12" ht="15" hidden="1" customHeight="1">
      <c r="A250" s="149" t="s">
        <v>415</v>
      </c>
      <c r="B250" s="150" t="s">
        <v>416</v>
      </c>
      <c r="C250" s="155">
        <v>2114</v>
      </c>
      <c r="D250" s="155" t="s">
        <v>328</v>
      </c>
      <c r="E250" s="155" t="s">
        <v>340</v>
      </c>
      <c r="F250" s="156">
        <v>41407</v>
      </c>
      <c r="G250" s="156" t="s">
        <v>34</v>
      </c>
      <c r="H250" s="156" t="s">
        <v>24</v>
      </c>
      <c r="I250" s="157">
        <v>395865.44</v>
      </c>
      <c r="J250" s="160">
        <v>1</v>
      </c>
      <c r="K250" s="159">
        <f>MONTH(Tabela1[[#This Row],[Data da Venda]])</f>
        <v>5</v>
      </c>
      <c r="L250" s="159">
        <f>YEAR(Tabela1[[#This Row],[Data da Venda]])</f>
        <v>2013</v>
      </c>
    </row>
    <row r="251" spans="1:12" ht="15" hidden="1" customHeight="1">
      <c r="A251" s="149" t="s">
        <v>415</v>
      </c>
      <c r="B251" s="150" t="s">
        <v>416</v>
      </c>
      <c r="C251" s="155">
        <v>2202</v>
      </c>
      <c r="D251" s="155" t="s">
        <v>328</v>
      </c>
      <c r="E251" s="155" t="s">
        <v>340</v>
      </c>
      <c r="F251" s="156">
        <v>41407</v>
      </c>
      <c r="G251" s="156" t="s">
        <v>150</v>
      </c>
      <c r="H251" s="156" t="s">
        <v>61</v>
      </c>
      <c r="I251" s="157">
        <v>373330.46</v>
      </c>
      <c r="J251" s="160">
        <v>1</v>
      </c>
      <c r="K251" s="159">
        <f>MONTH(Tabela1[[#This Row],[Data da Venda]])</f>
        <v>5</v>
      </c>
      <c r="L251" s="159">
        <f>YEAR(Tabela1[[#This Row],[Data da Venda]])</f>
        <v>2013</v>
      </c>
    </row>
    <row r="252" spans="1:12" ht="15" hidden="1" customHeight="1">
      <c r="A252" s="149" t="s">
        <v>415</v>
      </c>
      <c r="B252" s="150" t="s">
        <v>416</v>
      </c>
      <c r="C252" s="155">
        <v>2403</v>
      </c>
      <c r="D252" s="155" t="s">
        <v>329</v>
      </c>
      <c r="E252" s="155" t="s">
        <v>340</v>
      </c>
      <c r="F252" s="156">
        <v>41407</v>
      </c>
      <c r="G252" s="156" t="s">
        <v>465</v>
      </c>
      <c r="H252" s="156" t="s">
        <v>33</v>
      </c>
      <c r="I252" s="157">
        <v>384798.85</v>
      </c>
      <c r="J252" s="160">
        <v>1</v>
      </c>
      <c r="K252" s="159">
        <f>MONTH(Tabela1[[#This Row],[Data da Venda]])</f>
        <v>5</v>
      </c>
      <c r="L252" s="159">
        <f>YEAR(Tabela1[[#This Row],[Data da Venda]])</f>
        <v>2013</v>
      </c>
    </row>
    <row r="253" spans="1:12" ht="15" hidden="1" customHeight="1">
      <c r="A253" s="149" t="s">
        <v>415</v>
      </c>
      <c r="B253" s="150" t="s">
        <v>416</v>
      </c>
      <c r="C253" s="155">
        <v>308</v>
      </c>
      <c r="D253" s="155" t="s">
        <v>329</v>
      </c>
      <c r="E253" s="155" t="s">
        <v>340</v>
      </c>
      <c r="F253" s="156">
        <v>41408</v>
      </c>
      <c r="G253" s="156" t="s">
        <v>337</v>
      </c>
      <c r="H253" s="156" t="s">
        <v>33</v>
      </c>
      <c r="I253" s="157">
        <v>454817.98</v>
      </c>
      <c r="J253" s="158">
        <v>1</v>
      </c>
      <c r="K253" s="159">
        <f>MONTH(Tabela1[[#This Row],[Data da Venda]])</f>
        <v>5</v>
      </c>
      <c r="L253" s="159">
        <f>YEAR(Tabela1[[#This Row],[Data da Venda]])</f>
        <v>2013</v>
      </c>
    </row>
    <row r="254" spans="1:12" ht="15" hidden="1" customHeight="1">
      <c r="A254" s="149" t="s">
        <v>415</v>
      </c>
      <c r="B254" s="150" t="s">
        <v>416</v>
      </c>
      <c r="C254" s="155">
        <v>1516</v>
      </c>
      <c r="D254" s="155" t="s">
        <v>328</v>
      </c>
      <c r="E254" s="155" t="s">
        <v>340</v>
      </c>
      <c r="F254" s="156">
        <v>41408</v>
      </c>
      <c r="G254" s="156" t="s">
        <v>263</v>
      </c>
      <c r="H254" s="156" t="s">
        <v>23</v>
      </c>
      <c r="I254" s="157">
        <v>313206.90000000002</v>
      </c>
      <c r="J254" s="158">
        <v>1</v>
      </c>
      <c r="K254" s="159">
        <f>MONTH(Tabela1[[#This Row],[Data da Venda]])</f>
        <v>5</v>
      </c>
      <c r="L254" s="159">
        <f>YEAR(Tabela1[[#This Row],[Data da Venda]])</f>
        <v>2013</v>
      </c>
    </row>
    <row r="255" spans="1:12" ht="15" hidden="1" customHeight="1">
      <c r="A255" s="149" t="s">
        <v>415</v>
      </c>
      <c r="B255" s="150" t="s">
        <v>416</v>
      </c>
      <c r="C255" s="155">
        <v>2001</v>
      </c>
      <c r="D255" s="155" t="s">
        <v>328</v>
      </c>
      <c r="E255" s="155" t="s">
        <v>340</v>
      </c>
      <c r="F255" s="156">
        <v>41408</v>
      </c>
      <c r="G255" s="156" t="s">
        <v>65</v>
      </c>
      <c r="H255" s="156" t="s">
        <v>25</v>
      </c>
      <c r="I255" s="157">
        <v>372300</v>
      </c>
      <c r="J255" s="160">
        <v>1</v>
      </c>
      <c r="K255" s="159">
        <f>MONTH(Tabela1[[#This Row],[Data da Venda]])</f>
        <v>5</v>
      </c>
      <c r="L255" s="159">
        <f>YEAR(Tabela1[[#This Row],[Data da Venda]])</f>
        <v>2013</v>
      </c>
    </row>
    <row r="256" spans="1:12" ht="15" hidden="1" customHeight="1">
      <c r="A256" s="149" t="s">
        <v>415</v>
      </c>
      <c r="B256" s="150" t="s">
        <v>416</v>
      </c>
      <c r="C256" s="155">
        <v>2201</v>
      </c>
      <c r="D256" s="155" t="s">
        <v>328</v>
      </c>
      <c r="E256" s="155" t="s">
        <v>340</v>
      </c>
      <c r="F256" s="156">
        <v>41408</v>
      </c>
      <c r="G256" s="156" t="s">
        <v>263</v>
      </c>
      <c r="H256" s="156" t="s">
        <v>23</v>
      </c>
      <c r="I256" s="157">
        <v>384530.4</v>
      </c>
      <c r="J256" s="158">
        <v>1</v>
      </c>
      <c r="K256" s="159">
        <f>MONTH(Tabela1[[#This Row],[Data da Venda]])</f>
        <v>5</v>
      </c>
      <c r="L256" s="159">
        <f>YEAR(Tabela1[[#This Row],[Data da Venda]])</f>
        <v>2013</v>
      </c>
    </row>
    <row r="257" spans="1:12" ht="15" hidden="1" customHeight="1">
      <c r="A257" s="149" t="s">
        <v>415</v>
      </c>
      <c r="B257" s="150" t="s">
        <v>416</v>
      </c>
      <c r="C257" s="155">
        <v>2316</v>
      </c>
      <c r="D257" s="155" t="s">
        <v>328</v>
      </c>
      <c r="E257" s="155" t="s">
        <v>340</v>
      </c>
      <c r="F257" s="156">
        <v>41408</v>
      </c>
      <c r="G257" s="156" t="s">
        <v>296</v>
      </c>
      <c r="H257" s="156" t="s">
        <v>23</v>
      </c>
      <c r="I257" s="157">
        <v>194306.47</v>
      </c>
      <c r="J257" s="158">
        <v>0.5</v>
      </c>
      <c r="K257" s="159">
        <f>MONTH(Tabela1[[#This Row],[Data da Venda]])</f>
        <v>5</v>
      </c>
      <c r="L257" s="159">
        <f>YEAR(Tabela1[[#This Row],[Data da Venda]])</f>
        <v>2013</v>
      </c>
    </row>
    <row r="258" spans="1:12" ht="15" hidden="1" customHeight="1">
      <c r="A258" s="149" t="s">
        <v>415</v>
      </c>
      <c r="B258" s="150" t="s">
        <v>416</v>
      </c>
      <c r="C258" s="155">
        <v>2316</v>
      </c>
      <c r="D258" s="155" t="s">
        <v>328</v>
      </c>
      <c r="E258" s="155" t="s">
        <v>340</v>
      </c>
      <c r="F258" s="156">
        <v>41408</v>
      </c>
      <c r="G258" s="156" t="s">
        <v>263</v>
      </c>
      <c r="H258" s="156" t="s">
        <v>23</v>
      </c>
      <c r="I258" s="157">
        <v>194306.47</v>
      </c>
      <c r="J258" s="158">
        <v>0.5</v>
      </c>
      <c r="K258" s="159">
        <f>MONTH(Tabela1[[#This Row],[Data da Venda]])</f>
        <v>5</v>
      </c>
      <c r="L258" s="159">
        <f>YEAR(Tabela1[[#This Row],[Data da Venda]])</f>
        <v>2013</v>
      </c>
    </row>
    <row r="259" spans="1:12" ht="15" hidden="1" customHeight="1">
      <c r="A259" s="149" t="s">
        <v>415</v>
      </c>
      <c r="B259" s="150" t="s">
        <v>416</v>
      </c>
      <c r="C259" s="155">
        <v>2508</v>
      </c>
      <c r="D259" s="155" t="s">
        <v>328</v>
      </c>
      <c r="E259" s="155" t="s">
        <v>340</v>
      </c>
      <c r="F259" s="156">
        <v>41408</v>
      </c>
      <c r="G259" s="156" t="s">
        <v>62</v>
      </c>
      <c r="H259" s="156" t="s">
        <v>25</v>
      </c>
      <c r="I259" s="157">
        <v>437300</v>
      </c>
      <c r="J259" s="160">
        <v>1</v>
      </c>
      <c r="K259" s="159">
        <f>MONTH(Tabela1[[#This Row],[Data da Venda]])</f>
        <v>5</v>
      </c>
      <c r="L259" s="159">
        <f>YEAR(Tabela1[[#This Row],[Data da Venda]])</f>
        <v>2013</v>
      </c>
    </row>
    <row r="260" spans="1:12" ht="15" hidden="1" customHeight="1">
      <c r="A260" s="149" t="s">
        <v>415</v>
      </c>
      <c r="B260" s="150" t="s">
        <v>416</v>
      </c>
      <c r="C260" s="155">
        <v>513</v>
      </c>
      <c r="D260" s="155" t="s">
        <v>329</v>
      </c>
      <c r="E260" s="155" t="s">
        <v>340</v>
      </c>
      <c r="F260" s="156">
        <v>41411</v>
      </c>
      <c r="G260" s="156" t="s">
        <v>465</v>
      </c>
      <c r="H260" s="156" t="s">
        <v>33</v>
      </c>
      <c r="I260" s="157">
        <v>496606.83</v>
      </c>
      <c r="J260" s="160">
        <v>1</v>
      </c>
      <c r="K260" s="159">
        <f>MONTH(Tabela1[[#This Row],[Data da Venda]])</f>
        <v>5</v>
      </c>
      <c r="L260" s="159">
        <f>YEAR(Tabela1[[#This Row],[Data da Venda]])</f>
        <v>2013</v>
      </c>
    </row>
    <row r="261" spans="1:12" ht="15" hidden="1" customHeight="1">
      <c r="A261" s="149" t="s">
        <v>89</v>
      </c>
      <c r="B261" s="150" t="s">
        <v>426</v>
      </c>
      <c r="C261" s="155">
        <v>51</v>
      </c>
      <c r="D261" s="155" t="s">
        <v>328</v>
      </c>
      <c r="E261" s="155" t="s">
        <v>339</v>
      </c>
      <c r="F261" s="156">
        <v>41411</v>
      </c>
      <c r="G261" s="156" t="s">
        <v>173</v>
      </c>
      <c r="H261" s="156" t="s">
        <v>25</v>
      </c>
      <c r="I261" s="157">
        <v>2150000</v>
      </c>
      <c r="J261" s="160">
        <v>1</v>
      </c>
      <c r="K261" s="159">
        <f>MONTH(Tabela1[[#This Row],[Data da Venda]])</f>
        <v>5</v>
      </c>
      <c r="L261" s="159">
        <f>YEAR(Tabela1[[#This Row],[Data da Venda]])</f>
        <v>2013</v>
      </c>
    </row>
    <row r="262" spans="1:12" ht="15" hidden="1" customHeight="1">
      <c r="A262" s="149" t="s">
        <v>415</v>
      </c>
      <c r="B262" s="150" t="s">
        <v>416</v>
      </c>
      <c r="C262" s="155">
        <v>1013</v>
      </c>
      <c r="D262" s="155" t="s">
        <v>328</v>
      </c>
      <c r="E262" s="155" t="s">
        <v>340</v>
      </c>
      <c r="F262" s="156">
        <v>41411</v>
      </c>
      <c r="G262" s="156" t="s">
        <v>147</v>
      </c>
      <c r="H262" s="150" t="s">
        <v>26</v>
      </c>
      <c r="I262" s="157">
        <v>464318.64</v>
      </c>
      <c r="J262" s="160">
        <v>1</v>
      </c>
      <c r="K262" s="159">
        <f>MONTH(Tabela1[[#This Row],[Data da Venda]])</f>
        <v>5</v>
      </c>
      <c r="L262" s="159">
        <f>YEAR(Tabela1[[#This Row],[Data da Venda]])</f>
        <v>2013</v>
      </c>
    </row>
    <row r="263" spans="1:12" ht="15" hidden="1" customHeight="1">
      <c r="A263" s="149" t="s">
        <v>415</v>
      </c>
      <c r="B263" s="150" t="s">
        <v>416</v>
      </c>
      <c r="C263" s="155">
        <v>1102</v>
      </c>
      <c r="D263" s="155" t="s">
        <v>328</v>
      </c>
      <c r="E263" s="155" t="s">
        <v>340</v>
      </c>
      <c r="F263" s="156">
        <v>41411</v>
      </c>
      <c r="G263" s="156" t="s">
        <v>162</v>
      </c>
      <c r="H263" s="156" t="s">
        <v>25</v>
      </c>
      <c r="I263" s="157">
        <v>313700.90999999997</v>
      </c>
      <c r="J263" s="160">
        <v>1</v>
      </c>
      <c r="K263" s="159">
        <f>MONTH(Tabela1[[#This Row],[Data da Venda]])</f>
        <v>5</v>
      </c>
      <c r="L263" s="159">
        <f>YEAR(Tabela1[[#This Row],[Data da Venda]])</f>
        <v>2013</v>
      </c>
    </row>
    <row r="264" spans="1:12" ht="15" hidden="1" customHeight="1">
      <c r="A264" s="149" t="s">
        <v>415</v>
      </c>
      <c r="B264" s="150" t="s">
        <v>416</v>
      </c>
      <c r="C264" s="155">
        <v>1104</v>
      </c>
      <c r="D264" s="155" t="s">
        <v>329</v>
      </c>
      <c r="E264" s="155" t="s">
        <v>340</v>
      </c>
      <c r="F264" s="156">
        <v>41411</v>
      </c>
      <c r="G264" s="156" t="s">
        <v>465</v>
      </c>
      <c r="H264" s="156" t="s">
        <v>33</v>
      </c>
      <c r="I264" s="157">
        <v>491624.63</v>
      </c>
      <c r="J264" s="160">
        <v>1</v>
      </c>
      <c r="K264" s="159">
        <f>MONTH(Tabela1[[#This Row],[Data da Venda]])</f>
        <v>5</v>
      </c>
      <c r="L264" s="159">
        <f>YEAR(Tabela1[[#This Row],[Data da Venda]])</f>
        <v>2013</v>
      </c>
    </row>
    <row r="265" spans="1:12" ht="15" hidden="1" customHeight="1">
      <c r="A265" s="149" t="s">
        <v>415</v>
      </c>
      <c r="B265" s="150" t="s">
        <v>416</v>
      </c>
      <c r="C265" s="155">
        <v>1313</v>
      </c>
      <c r="D265" s="155" t="s">
        <v>328</v>
      </c>
      <c r="E265" s="155" t="s">
        <v>340</v>
      </c>
      <c r="F265" s="156">
        <v>41411</v>
      </c>
      <c r="G265" s="155" t="s">
        <v>171</v>
      </c>
      <c r="H265" s="155" t="s">
        <v>26</v>
      </c>
      <c r="I265" s="157">
        <v>255610.19</v>
      </c>
      <c r="J265" s="160">
        <v>0.5</v>
      </c>
      <c r="K265" s="159">
        <f>MONTH(Tabela1[[#This Row],[Data da Venda]])</f>
        <v>5</v>
      </c>
      <c r="L265" s="159">
        <f>YEAR(Tabela1[[#This Row],[Data da Venda]])</f>
        <v>2013</v>
      </c>
    </row>
    <row r="266" spans="1:12" ht="15" hidden="1" customHeight="1">
      <c r="A266" s="149" t="s">
        <v>415</v>
      </c>
      <c r="B266" s="150" t="s">
        <v>416</v>
      </c>
      <c r="C266" s="155">
        <v>1313</v>
      </c>
      <c r="D266" s="155" t="s">
        <v>328</v>
      </c>
      <c r="E266" s="155" t="s">
        <v>340</v>
      </c>
      <c r="F266" s="156">
        <v>41411</v>
      </c>
      <c r="G266" s="155" t="s">
        <v>197</v>
      </c>
      <c r="H266" s="155" t="s">
        <v>79</v>
      </c>
      <c r="I266" s="157">
        <v>255610.19</v>
      </c>
      <c r="J266" s="160">
        <v>0.5</v>
      </c>
      <c r="K266" s="159">
        <f>MONTH(Tabela1[[#This Row],[Data da Venda]])</f>
        <v>5</v>
      </c>
      <c r="L266" s="159">
        <f>YEAR(Tabela1[[#This Row],[Data da Venda]])</f>
        <v>2013</v>
      </c>
    </row>
    <row r="267" spans="1:12" ht="15" hidden="1" customHeight="1">
      <c r="A267" s="149" t="s">
        <v>415</v>
      </c>
      <c r="B267" s="150" t="s">
        <v>416</v>
      </c>
      <c r="C267" s="155">
        <v>1601</v>
      </c>
      <c r="D267" s="155" t="s">
        <v>328</v>
      </c>
      <c r="E267" s="155" t="s">
        <v>340</v>
      </c>
      <c r="F267" s="156">
        <v>41411</v>
      </c>
      <c r="G267" s="156" t="s">
        <v>141</v>
      </c>
      <c r="H267" s="156" t="s">
        <v>24</v>
      </c>
      <c r="I267" s="157">
        <v>373330.3</v>
      </c>
      <c r="J267" s="160">
        <v>1</v>
      </c>
      <c r="K267" s="159">
        <f>MONTH(Tabela1[[#This Row],[Data da Venda]])</f>
        <v>5</v>
      </c>
      <c r="L267" s="159">
        <f>YEAR(Tabela1[[#This Row],[Data da Venda]])</f>
        <v>2013</v>
      </c>
    </row>
    <row r="268" spans="1:12" ht="15" hidden="1" customHeight="1">
      <c r="A268" s="149" t="s">
        <v>415</v>
      </c>
      <c r="B268" s="150" t="s">
        <v>416</v>
      </c>
      <c r="C268" s="155">
        <v>1609</v>
      </c>
      <c r="D268" s="155" t="s">
        <v>328</v>
      </c>
      <c r="E268" s="155" t="s">
        <v>340</v>
      </c>
      <c r="F268" s="156">
        <v>41411</v>
      </c>
      <c r="G268" s="156" t="s">
        <v>38</v>
      </c>
      <c r="H268" s="156" t="s">
        <v>23</v>
      </c>
      <c r="I268" s="157">
        <v>476249.26</v>
      </c>
      <c r="J268" s="158">
        <v>1</v>
      </c>
      <c r="K268" s="159">
        <f>MONTH(Tabela1[[#This Row],[Data da Venda]])</f>
        <v>5</v>
      </c>
      <c r="L268" s="159">
        <f>YEAR(Tabela1[[#This Row],[Data da Venda]])</f>
        <v>2013</v>
      </c>
    </row>
    <row r="269" spans="1:12" ht="15" hidden="1" customHeight="1">
      <c r="A269" s="149" t="s">
        <v>415</v>
      </c>
      <c r="B269" s="150" t="s">
        <v>416</v>
      </c>
      <c r="C269" s="155">
        <v>1803</v>
      </c>
      <c r="D269" s="155" t="s">
        <v>328</v>
      </c>
      <c r="E269" s="155" t="s">
        <v>340</v>
      </c>
      <c r="F269" s="156">
        <v>41411</v>
      </c>
      <c r="G269" s="156" t="s">
        <v>207</v>
      </c>
      <c r="H269" s="156" t="s">
        <v>79</v>
      </c>
      <c r="I269" s="157">
        <v>368228</v>
      </c>
      <c r="J269" s="160">
        <v>1</v>
      </c>
      <c r="K269" s="159">
        <f>MONTH(Tabela1[[#This Row],[Data da Venda]])</f>
        <v>5</v>
      </c>
      <c r="L269" s="159">
        <f>YEAR(Tabela1[[#This Row],[Data da Venda]])</f>
        <v>2013</v>
      </c>
    </row>
    <row r="270" spans="1:12" ht="15" hidden="1" customHeight="1">
      <c r="A270" s="149" t="s">
        <v>415</v>
      </c>
      <c r="B270" s="150" t="s">
        <v>416</v>
      </c>
      <c r="C270" s="155">
        <v>1810</v>
      </c>
      <c r="D270" s="155" t="s">
        <v>328</v>
      </c>
      <c r="E270" s="155" t="s">
        <v>340</v>
      </c>
      <c r="F270" s="156">
        <v>41411</v>
      </c>
      <c r="G270" s="156" t="s">
        <v>198</v>
      </c>
      <c r="H270" s="156" t="s">
        <v>23</v>
      </c>
      <c r="I270" s="157">
        <v>195237.34</v>
      </c>
      <c r="J270" s="160">
        <v>0.5</v>
      </c>
      <c r="K270" s="159">
        <f>MONTH(Tabela1[[#This Row],[Data da Venda]])</f>
        <v>5</v>
      </c>
      <c r="L270" s="159">
        <f>YEAR(Tabela1[[#This Row],[Data da Venda]])</f>
        <v>2013</v>
      </c>
    </row>
    <row r="271" spans="1:12" ht="15" hidden="1" customHeight="1">
      <c r="A271" s="149" t="s">
        <v>415</v>
      </c>
      <c r="B271" s="150" t="s">
        <v>416</v>
      </c>
      <c r="C271" s="155">
        <v>1810</v>
      </c>
      <c r="D271" s="155" t="s">
        <v>328</v>
      </c>
      <c r="E271" s="155" t="s">
        <v>340</v>
      </c>
      <c r="F271" s="156">
        <v>41411</v>
      </c>
      <c r="G271" s="156" t="s">
        <v>80</v>
      </c>
      <c r="H271" s="156" t="s">
        <v>23</v>
      </c>
      <c r="I271" s="157">
        <v>195237.34</v>
      </c>
      <c r="J271" s="160">
        <v>0.5</v>
      </c>
      <c r="K271" s="159">
        <f>MONTH(Tabela1[[#This Row],[Data da Venda]])</f>
        <v>5</v>
      </c>
      <c r="L271" s="159">
        <f>YEAR(Tabela1[[#This Row],[Data da Venda]])</f>
        <v>2013</v>
      </c>
    </row>
    <row r="272" spans="1:12" ht="15" hidden="1" customHeight="1">
      <c r="A272" s="149" t="s">
        <v>415</v>
      </c>
      <c r="B272" s="150" t="s">
        <v>416</v>
      </c>
      <c r="C272" s="155">
        <v>1915</v>
      </c>
      <c r="D272" s="155" t="s">
        <v>329</v>
      </c>
      <c r="E272" s="155" t="s">
        <v>340</v>
      </c>
      <c r="F272" s="156">
        <v>41411</v>
      </c>
      <c r="G272" s="156" t="s">
        <v>337</v>
      </c>
      <c r="H272" s="156" t="s">
        <v>33</v>
      </c>
      <c r="I272" s="157">
        <v>384767.22</v>
      </c>
      <c r="J272" s="158">
        <v>1</v>
      </c>
      <c r="K272" s="159">
        <f>MONTH(Tabela1[[#This Row],[Data da Venda]])</f>
        <v>5</v>
      </c>
      <c r="L272" s="159">
        <f>YEAR(Tabela1[[#This Row],[Data da Venda]])</f>
        <v>2013</v>
      </c>
    </row>
    <row r="273" spans="1:12" ht="15" hidden="1" customHeight="1">
      <c r="A273" s="149" t="s">
        <v>415</v>
      </c>
      <c r="B273" s="150" t="s">
        <v>416</v>
      </c>
      <c r="C273" s="155">
        <v>2002</v>
      </c>
      <c r="D273" s="155" t="s">
        <v>328</v>
      </c>
      <c r="E273" s="155" t="s">
        <v>340</v>
      </c>
      <c r="F273" s="156">
        <v>41411</v>
      </c>
      <c r="G273" s="156" t="s">
        <v>141</v>
      </c>
      <c r="H273" s="156" t="s">
        <v>24</v>
      </c>
      <c r="I273" s="157">
        <v>378930.54</v>
      </c>
      <c r="J273" s="158">
        <v>1</v>
      </c>
      <c r="K273" s="159">
        <f>MONTH(Tabela1[[#This Row],[Data da Venda]])</f>
        <v>5</v>
      </c>
      <c r="L273" s="159">
        <f>YEAR(Tabela1[[#This Row],[Data da Venda]])</f>
        <v>2013</v>
      </c>
    </row>
    <row r="274" spans="1:12" ht="15" hidden="1" customHeight="1">
      <c r="A274" s="149" t="s">
        <v>415</v>
      </c>
      <c r="B274" s="150" t="s">
        <v>416</v>
      </c>
      <c r="C274" s="155">
        <v>2211</v>
      </c>
      <c r="D274" s="155" t="s">
        <v>328</v>
      </c>
      <c r="E274" s="155" t="s">
        <v>340</v>
      </c>
      <c r="F274" s="156">
        <v>41411</v>
      </c>
      <c r="G274" s="156" t="s">
        <v>308</v>
      </c>
      <c r="H274" s="156" t="s">
        <v>26</v>
      </c>
      <c r="I274" s="157">
        <v>395865.44</v>
      </c>
      <c r="J274" s="158">
        <v>1</v>
      </c>
      <c r="K274" s="159">
        <f>MONTH(Tabela1[[#This Row],[Data da Venda]])</f>
        <v>5</v>
      </c>
      <c r="L274" s="159">
        <f>YEAR(Tabela1[[#This Row],[Data da Venda]])</f>
        <v>2013</v>
      </c>
    </row>
    <row r="275" spans="1:12" ht="15" hidden="1" customHeight="1">
      <c r="A275" s="149" t="s">
        <v>415</v>
      </c>
      <c r="B275" s="150" t="s">
        <v>416</v>
      </c>
      <c r="C275" s="155">
        <v>2212</v>
      </c>
      <c r="D275" s="155" t="s">
        <v>328</v>
      </c>
      <c r="E275" s="155" t="s">
        <v>340</v>
      </c>
      <c r="F275" s="156">
        <v>41411</v>
      </c>
      <c r="G275" s="156" t="s">
        <v>308</v>
      </c>
      <c r="H275" s="156" t="s">
        <v>26</v>
      </c>
      <c r="I275" s="157">
        <v>694927.24</v>
      </c>
      <c r="J275" s="158">
        <v>1</v>
      </c>
      <c r="K275" s="159">
        <f>MONTH(Tabela1[[#This Row],[Data da Venda]])</f>
        <v>5</v>
      </c>
      <c r="L275" s="159">
        <f>YEAR(Tabela1[[#This Row],[Data da Venda]])</f>
        <v>2013</v>
      </c>
    </row>
    <row r="276" spans="1:12" ht="15" hidden="1" customHeight="1">
      <c r="A276" s="149" t="s">
        <v>415</v>
      </c>
      <c r="B276" s="150" t="s">
        <v>416</v>
      </c>
      <c r="C276" s="155">
        <v>2310</v>
      </c>
      <c r="D276" s="155" t="s">
        <v>328</v>
      </c>
      <c r="E276" s="155" t="s">
        <v>340</v>
      </c>
      <c r="F276" s="156">
        <v>41411</v>
      </c>
      <c r="G276" s="156" t="s">
        <v>80</v>
      </c>
      <c r="H276" s="156" t="s">
        <v>23</v>
      </c>
      <c r="I276" s="157">
        <v>197932.68</v>
      </c>
      <c r="J276" s="158">
        <v>0.5</v>
      </c>
      <c r="K276" s="159">
        <f>MONTH(Tabela1[[#This Row],[Data da Venda]])</f>
        <v>5</v>
      </c>
      <c r="L276" s="159">
        <f>YEAR(Tabela1[[#This Row],[Data da Venda]])</f>
        <v>2013</v>
      </c>
    </row>
    <row r="277" spans="1:12" ht="15" hidden="1" customHeight="1">
      <c r="A277" s="149" t="s">
        <v>415</v>
      </c>
      <c r="B277" s="150" t="s">
        <v>416</v>
      </c>
      <c r="C277" s="155">
        <v>2310</v>
      </c>
      <c r="D277" s="155" t="s">
        <v>328</v>
      </c>
      <c r="E277" s="155" t="s">
        <v>340</v>
      </c>
      <c r="F277" s="156">
        <v>41411</v>
      </c>
      <c r="G277" s="156" t="s">
        <v>296</v>
      </c>
      <c r="H277" s="156" t="s">
        <v>23</v>
      </c>
      <c r="I277" s="157">
        <v>197932.68</v>
      </c>
      <c r="J277" s="158">
        <v>0.5</v>
      </c>
      <c r="K277" s="159">
        <f>MONTH(Tabela1[[#This Row],[Data da Venda]])</f>
        <v>5</v>
      </c>
      <c r="L277" s="159">
        <f>YEAR(Tabela1[[#This Row],[Data da Venda]])</f>
        <v>2013</v>
      </c>
    </row>
    <row r="278" spans="1:12" ht="15" hidden="1" customHeight="1">
      <c r="A278" s="149" t="s">
        <v>415</v>
      </c>
      <c r="B278" s="150" t="s">
        <v>416</v>
      </c>
      <c r="C278" s="155">
        <v>2311</v>
      </c>
      <c r="D278" s="155" t="s">
        <v>328</v>
      </c>
      <c r="E278" s="155" t="s">
        <v>340</v>
      </c>
      <c r="F278" s="156">
        <v>41411</v>
      </c>
      <c r="G278" s="156" t="s">
        <v>80</v>
      </c>
      <c r="H278" s="156" t="s">
        <v>23</v>
      </c>
      <c r="I278" s="157">
        <v>197932.68</v>
      </c>
      <c r="J278" s="158">
        <v>0.5</v>
      </c>
      <c r="K278" s="159">
        <f>MONTH(Tabela1[[#This Row],[Data da Venda]])</f>
        <v>5</v>
      </c>
      <c r="L278" s="159">
        <f>YEAR(Tabela1[[#This Row],[Data da Venda]])</f>
        <v>2013</v>
      </c>
    </row>
    <row r="279" spans="1:12" ht="15" hidden="1" customHeight="1">
      <c r="A279" s="149" t="s">
        <v>415</v>
      </c>
      <c r="B279" s="150" t="s">
        <v>416</v>
      </c>
      <c r="C279" s="155">
        <v>2311</v>
      </c>
      <c r="D279" s="155" t="s">
        <v>328</v>
      </c>
      <c r="E279" s="155" t="s">
        <v>340</v>
      </c>
      <c r="F279" s="156">
        <v>41411</v>
      </c>
      <c r="G279" s="156" t="s">
        <v>296</v>
      </c>
      <c r="H279" s="156" t="s">
        <v>23</v>
      </c>
      <c r="I279" s="157">
        <v>197932.68</v>
      </c>
      <c r="J279" s="158">
        <v>0.5</v>
      </c>
      <c r="K279" s="159">
        <f>MONTH(Tabela1[[#This Row],[Data da Venda]])</f>
        <v>5</v>
      </c>
      <c r="L279" s="159">
        <f>YEAR(Tabela1[[#This Row],[Data da Venda]])</f>
        <v>2013</v>
      </c>
    </row>
    <row r="280" spans="1:12" ht="15" hidden="1" customHeight="1">
      <c r="A280" s="149" t="s">
        <v>415</v>
      </c>
      <c r="B280" s="150" t="s">
        <v>416</v>
      </c>
      <c r="C280" s="155">
        <v>2411</v>
      </c>
      <c r="D280" s="155" t="s">
        <v>328</v>
      </c>
      <c r="E280" s="155" t="s">
        <v>340</v>
      </c>
      <c r="F280" s="156">
        <v>41411</v>
      </c>
      <c r="G280" s="156" t="s">
        <v>308</v>
      </c>
      <c r="H280" s="156" t="s">
        <v>26</v>
      </c>
      <c r="I280" s="157">
        <v>395865.44</v>
      </c>
      <c r="J280" s="160">
        <v>1</v>
      </c>
      <c r="K280" s="159">
        <f>MONTH(Tabela1[[#This Row],[Data da Venda]])</f>
        <v>5</v>
      </c>
      <c r="L280" s="159">
        <f>YEAR(Tabela1[[#This Row],[Data da Venda]])</f>
        <v>2013</v>
      </c>
    </row>
    <row r="281" spans="1:12" ht="15" hidden="1" customHeight="1">
      <c r="A281" s="149" t="s">
        <v>415</v>
      </c>
      <c r="B281" s="150" t="s">
        <v>416</v>
      </c>
      <c r="C281" s="155">
        <v>2412</v>
      </c>
      <c r="D281" s="155" t="s">
        <v>328</v>
      </c>
      <c r="E281" s="155" t="s">
        <v>340</v>
      </c>
      <c r="F281" s="156">
        <v>41411</v>
      </c>
      <c r="G281" s="156" t="s">
        <v>308</v>
      </c>
      <c r="H281" s="156" t="s">
        <v>26</v>
      </c>
      <c r="I281" s="157">
        <v>694927.24</v>
      </c>
      <c r="J281" s="160">
        <v>1</v>
      </c>
      <c r="K281" s="159">
        <f>MONTH(Tabela1[[#This Row],[Data da Venda]])</f>
        <v>5</v>
      </c>
      <c r="L281" s="159">
        <f>YEAR(Tabela1[[#This Row],[Data da Venda]])</f>
        <v>2013</v>
      </c>
    </row>
    <row r="282" spans="1:12" ht="15" hidden="1" customHeight="1">
      <c r="A282" s="149" t="s">
        <v>415</v>
      </c>
      <c r="B282" s="150" t="s">
        <v>416</v>
      </c>
      <c r="C282" s="155">
        <v>2514</v>
      </c>
      <c r="D282" s="155" t="s">
        <v>328</v>
      </c>
      <c r="E282" s="155" t="s">
        <v>340</v>
      </c>
      <c r="F282" s="156">
        <v>41411</v>
      </c>
      <c r="G282" s="155" t="s">
        <v>171</v>
      </c>
      <c r="H282" s="155" t="s">
        <v>26</v>
      </c>
      <c r="I282" s="157">
        <v>401630.7</v>
      </c>
      <c r="J282" s="160">
        <v>1</v>
      </c>
      <c r="K282" s="159">
        <f>MONTH(Tabela1[[#This Row],[Data da Venda]])</f>
        <v>5</v>
      </c>
      <c r="L282" s="159">
        <f>YEAR(Tabela1[[#This Row],[Data da Venda]])</f>
        <v>2013</v>
      </c>
    </row>
    <row r="283" spans="1:12" ht="15" hidden="1" customHeight="1">
      <c r="A283" s="149" t="s">
        <v>415</v>
      </c>
      <c r="B283" s="150" t="s">
        <v>416</v>
      </c>
      <c r="C283" s="155">
        <v>1014</v>
      </c>
      <c r="D283" s="155" t="s">
        <v>328</v>
      </c>
      <c r="E283" s="155" t="s">
        <v>340</v>
      </c>
      <c r="F283" s="156">
        <v>41412</v>
      </c>
      <c r="G283" s="155" t="s">
        <v>197</v>
      </c>
      <c r="H283" s="155" t="s">
        <v>79</v>
      </c>
      <c r="I283" s="157">
        <v>308508</v>
      </c>
      <c r="J283" s="160">
        <v>1</v>
      </c>
      <c r="K283" s="159">
        <f>MONTH(Tabela1[[#This Row],[Data da Venda]])</f>
        <v>5</v>
      </c>
      <c r="L283" s="159">
        <f>YEAR(Tabela1[[#This Row],[Data da Venda]])</f>
        <v>2013</v>
      </c>
    </row>
    <row r="284" spans="1:12" ht="15" hidden="1" customHeight="1">
      <c r="A284" s="149" t="s">
        <v>415</v>
      </c>
      <c r="B284" s="150" t="s">
        <v>416</v>
      </c>
      <c r="C284" s="155">
        <v>306</v>
      </c>
      <c r="D284" s="155" t="s">
        <v>328</v>
      </c>
      <c r="E284" s="155" t="s">
        <v>340</v>
      </c>
      <c r="F284" s="156">
        <v>41413</v>
      </c>
      <c r="G284" s="156" t="s">
        <v>162</v>
      </c>
      <c r="H284" s="156" t="s">
        <v>25</v>
      </c>
      <c r="I284" s="157">
        <v>363152.84</v>
      </c>
      <c r="J284" s="160">
        <v>1</v>
      </c>
      <c r="K284" s="159">
        <f>MONTH(Tabela1[[#This Row],[Data da Venda]])</f>
        <v>5</v>
      </c>
      <c r="L284" s="159">
        <f>YEAR(Tabela1[[#This Row],[Data da Venda]])</f>
        <v>2013</v>
      </c>
    </row>
    <row r="285" spans="1:12" ht="15" hidden="1" customHeight="1">
      <c r="A285" s="149" t="s">
        <v>415</v>
      </c>
      <c r="B285" s="150" t="s">
        <v>416</v>
      </c>
      <c r="C285" s="155">
        <v>314</v>
      </c>
      <c r="D285" s="155" t="s">
        <v>328</v>
      </c>
      <c r="E285" s="155" t="s">
        <v>340</v>
      </c>
      <c r="F285" s="156">
        <v>41413</v>
      </c>
      <c r="G285" s="156" t="s">
        <v>62</v>
      </c>
      <c r="H285" s="156" t="s">
        <v>25</v>
      </c>
      <c r="I285" s="157">
        <v>360999.37</v>
      </c>
      <c r="J285" s="160">
        <v>1</v>
      </c>
      <c r="K285" s="159">
        <f>MONTH(Tabela1[[#This Row],[Data da Venda]])</f>
        <v>5</v>
      </c>
      <c r="L285" s="159">
        <f>YEAR(Tabela1[[#This Row],[Data da Venda]])</f>
        <v>2013</v>
      </c>
    </row>
    <row r="286" spans="1:12" ht="15" hidden="1" customHeight="1">
      <c r="A286" s="149" t="s">
        <v>415</v>
      </c>
      <c r="B286" s="150" t="s">
        <v>416</v>
      </c>
      <c r="C286" s="155">
        <v>401</v>
      </c>
      <c r="D286" s="155" t="s">
        <v>329</v>
      </c>
      <c r="E286" s="155" t="s">
        <v>340</v>
      </c>
      <c r="F286" s="156">
        <v>41413</v>
      </c>
      <c r="G286" s="156" t="s">
        <v>463</v>
      </c>
      <c r="H286" s="156" t="s">
        <v>33</v>
      </c>
      <c r="I286" s="157">
        <v>362130.59</v>
      </c>
      <c r="J286" s="158">
        <v>1</v>
      </c>
      <c r="K286" s="159">
        <f>MONTH(Tabela1[[#This Row],[Data da Venda]])</f>
        <v>5</v>
      </c>
      <c r="L286" s="159">
        <f>YEAR(Tabela1[[#This Row],[Data da Venda]])</f>
        <v>2013</v>
      </c>
    </row>
    <row r="287" spans="1:12" ht="15" hidden="1" customHeight="1">
      <c r="A287" s="149" t="s">
        <v>415</v>
      </c>
      <c r="B287" s="150" t="s">
        <v>416</v>
      </c>
      <c r="C287" s="155">
        <v>403</v>
      </c>
      <c r="D287" s="155" t="s">
        <v>328</v>
      </c>
      <c r="E287" s="155" t="s">
        <v>340</v>
      </c>
      <c r="F287" s="156">
        <v>41413</v>
      </c>
      <c r="G287" s="156" t="s">
        <v>65</v>
      </c>
      <c r="H287" s="156" t="s">
        <v>25</v>
      </c>
      <c r="I287" s="157">
        <v>347912.46</v>
      </c>
      <c r="J287" s="160">
        <v>1</v>
      </c>
      <c r="K287" s="159">
        <f>MONTH(Tabela1[[#This Row],[Data da Venda]])</f>
        <v>5</v>
      </c>
      <c r="L287" s="159">
        <f>YEAR(Tabela1[[#This Row],[Data da Venda]])</f>
        <v>2013</v>
      </c>
    </row>
    <row r="288" spans="1:12" ht="15" hidden="1" customHeight="1">
      <c r="A288" s="149" t="s">
        <v>415</v>
      </c>
      <c r="B288" s="150" t="s">
        <v>416</v>
      </c>
      <c r="C288" s="155">
        <v>410</v>
      </c>
      <c r="D288" s="155" t="s">
        <v>328</v>
      </c>
      <c r="E288" s="155" t="s">
        <v>340</v>
      </c>
      <c r="F288" s="156">
        <v>41413</v>
      </c>
      <c r="G288" s="156" t="s">
        <v>163</v>
      </c>
      <c r="H288" s="156" t="s">
        <v>25</v>
      </c>
      <c r="I288" s="157">
        <v>366350</v>
      </c>
      <c r="J288" s="160">
        <v>1</v>
      </c>
      <c r="K288" s="159">
        <f>MONTH(Tabela1[[#This Row],[Data da Venda]])</f>
        <v>5</v>
      </c>
      <c r="L288" s="159">
        <f>YEAR(Tabela1[[#This Row],[Data da Venda]])</f>
        <v>2013</v>
      </c>
    </row>
    <row r="289" spans="1:12" ht="15" hidden="1" customHeight="1">
      <c r="A289" s="149" t="s">
        <v>415</v>
      </c>
      <c r="B289" s="150" t="s">
        <v>416</v>
      </c>
      <c r="C289" s="155">
        <v>501</v>
      </c>
      <c r="D289" s="155" t="s">
        <v>328</v>
      </c>
      <c r="E289" s="155" t="s">
        <v>340</v>
      </c>
      <c r="F289" s="156">
        <v>41413</v>
      </c>
      <c r="G289" s="156" t="s">
        <v>207</v>
      </c>
      <c r="H289" s="156" t="s">
        <v>79</v>
      </c>
      <c r="I289" s="157">
        <v>179710</v>
      </c>
      <c r="J289" s="160">
        <v>0.5</v>
      </c>
      <c r="K289" s="159">
        <f>MONTH(Tabela1[[#This Row],[Data da Venda]])</f>
        <v>5</v>
      </c>
      <c r="L289" s="159">
        <f>YEAR(Tabela1[[#This Row],[Data da Venda]])</f>
        <v>2013</v>
      </c>
    </row>
    <row r="290" spans="1:12" ht="15" hidden="1" customHeight="1">
      <c r="A290" s="149" t="s">
        <v>415</v>
      </c>
      <c r="B290" s="150" t="s">
        <v>416</v>
      </c>
      <c r="C290" s="155">
        <v>503</v>
      </c>
      <c r="D290" s="155" t="s">
        <v>328</v>
      </c>
      <c r="E290" s="155" t="s">
        <v>340</v>
      </c>
      <c r="F290" s="156">
        <v>41413</v>
      </c>
      <c r="G290" s="156" t="s">
        <v>163</v>
      </c>
      <c r="H290" s="156" t="s">
        <v>25</v>
      </c>
      <c r="I290" s="157">
        <v>355200</v>
      </c>
      <c r="J290" s="160">
        <v>1</v>
      </c>
      <c r="K290" s="159">
        <f>MONTH(Tabela1[[#This Row],[Data da Venda]])</f>
        <v>5</v>
      </c>
      <c r="L290" s="159">
        <f>YEAR(Tabela1[[#This Row],[Data da Venda]])</f>
        <v>2013</v>
      </c>
    </row>
    <row r="291" spans="1:12" ht="15" hidden="1" customHeight="1">
      <c r="A291" s="149" t="s">
        <v>415</v>
      </c>
      <c r="B291" s="150" t="s">
        <v>416</v>
      </c>
      <c r="C291" s="155">
        <v>507</v>
      </c>
      <c r="D291" s="155" t="s">
        <v>328</v>
      </c>
      <c r="E291" s="155" t="s">
        <v>340</v>
      </c>
      <c r="F291" s="156">
        <v>41413</v>
      </c>
      <c r="G291" s="156" t="s">
        <v>207</v>
      </c>
      <c r="H291" s="156" t="s">
        <v>79</v>
      </c>
      <c r="I291" s="157">
        <v>178950</v>
      </c>
      <c r="J291" s="160">
        <v>0.5</v>
      </c>
      <c r="K291" s="159">
        <f>MONTH(Tabela1[[#This Row],[Data da Venda]])</f>
        <v>5</v>
      </c>
      <c r="L291" s="159">
        <f>YEAR(Tabela1[[#This Row],[Data da Venda]])</f>
        <v>2013</v>
      </c>
    </row>
    <row r="292" spans="1:12" ht="15" hidden="1" customHeight="1">
      <c r="A292" s="149" t="s">
        <v>415</v>
      </c>
      <c r="B292" s="150" t="s">
        <v>416</v>
      </c>
      <c r="C292" s="155">
        <v>507</v>
      </c>
      <c r="D292" s="155" t="s">
        <v>328</v>
      </c>
      <c r="E292" s="155" t="s">
        <v>340</v>
      </c>
      <c r="F292" s="156">
        <v>41413</v>
      </c>
      <c r="G292" s="156" t="s">
        <v>313</v>
      </c>
      <c r="H292" s="156" t="s">
        <v>25</v>
      </c>
      <c r="I292" s="157">
        <v>178950</v>
      </c>
      <c r="J292" s="160">
        <v>0.5</v>
      </c>
      <c r="K292" s="159">
        <f>MONTH(Tabela1[[#This Row],[Data da Venda]])</f>
        <v>5</v>
      </c>
      <c r="L292" s="159">
        <f>YEAR(Tabela1[[#This Row],[Data da Venda]])</f>
        <v>2013</v>
      </c>
    </row>
    <row r="293" spans="1:12" ht="15" hidden="1" customHeight="1">
      <c r="A293" s="149" t="s">
        <v>415</v>
      </c>
      <c r="B293" s="150" t="s">
        <v>416</v>
      </c>
      <c r="C293" s="155">
        <v>510</v>
      </c>
      <c r="D293" s="155" t="s">
        <v>328</v>
      </c>
      <c r="E293" s="155" t="s">
        <v>340</v>
      </c>
      <c r="F293" s="156">
        <v>41413</v>
      </c>
      <c r="G293" s="156" t="s">
        <v>311</v>
      </c>
      <c r="H293" s="156" t="s">
        <v>61</v>
      </c>
      <c r="I293" s="157">
        <v>335423.21000000002</v>
      </c>
      <c r="J293" s="160">
        <v>1</v>
      </c>
      <c r="K293" s="159">
        <f>MONTH(Tabela1[[#This Row],[Data da Venda]])</f>
        <v>5</v>
      </c>
      <c r="L293" s="159">
        <f>YEAR(Tabela1[[#This Row],[Data da Venda]])</f>
        <v>2013</v>
      </c>
    </row>
    <row r="294" spans="1:12" ht="15" hidden="1" customHeight="1">
      <c r="A294" s="149" t="s">
        <v>415</v>
      </c>
      <c r="B294" s="150" t="s">
        <v>416</v>
      </c>
      <c r="C294" s="155">
        <v>511</v>
      </c>
      <c r="D294" s="155" t="s">
        <v>328</v>
      </c>
      <c r="E294" s="155" t="s">
        <v>340</v>
      </c>
      <c r="F294" s="156">
        <v>41413</v>
      </c>
      <c r="G294" s="156" t="s">
        <v>71</v>
      </c>
      <c r="H294" s="156" t="s">
        <v>24</v>
      </c>
      <c r="I294" s="157">
        <v>175738.23999999999</v>
      </c>
      <c r="J294" s="160">
        <v>0.5</v>
      </c>
      <c r="K294" s="159">
        <f>MONTH(Tabela1[[#This Row],[Data da Venda]])</f>
        <v>5</v>
      </c>
      <c r="L294" s="159">
        <f>YEAR(Tabela1[[#This Row],[Data da Venda]])</f>
        <v>2013</v>
      </c>
    </row>
    <row r="295" spans="1:12" ht="15" hidden="1" customHeight="1">
      <c r="A295" s="149" t="s">
        <v>415</v>
      </c>
      <c r="B295" s="150" t="s">
        <v>416</v>
      </c>
      <c r="C295" s="155">
        <v>511</v>
      </c>
      <c r="D295" s="155" t="s">
        <v>328</v>
      </c>
      <c r="E295" s="155" t="s">
        <v>340</v>
      </c>
      <c r="F295" s="156">
        <v>41413</v>
      </c>
      <c r="G295" s="156" t="s">
        <v>307</v>
      </c>
      <c r="H295" s="156" t="s">
        <v>24</v>
      </c>
      <c r="I295" s="157">
        <v>175738.23999999999</v>
      </c>
      <c r="J295" s="160">
        <v>0.5</v>
      </c>
      <c r="K295" s="159">
        <f>MONTH(Tabela1[[#This Row],[Data da Venda]])</f>
        <v>5</v>
      </c>
      <c r="L295" s="159">
        <f>YEAR(Tabela1[[#This Row],[Data da Venda]])</f>
        <v>2013</v>
      </c>
    </row>
    <row r="296" spans="1:12" ht="15" hidden="1" customHeight="1">
      <c r="A296" s="149" t="s">
        <v>415</v>
      </c>
      <c r="B296" s="150" t="s">
        <v>416</v>
      </c>
      <c r="C296" s="155">
        <v>810</v>
      </c>
      <c r="D296" s="155" t="s">
        <v>328</v>
      </c>
      <c r="E296" s="155" t="s">
        <v>340</v>
      </c>
      <c r="F296" s="156">
        <v>41413</v>
      </c>
      <c r="G296" s="156" t="s">
        <v>154</v>
      </c>
      <c r="H296" s="156" t="s">
        <v>61</v>
      </c>
      <c r="I296" s="157">
        <v>329600</v>
      </c>
      <c r="J296" s="160">
        <v>1</v>
      </c>
      <c r="K296" s="159">
        <f>MONTH(Tabela1[[#This Row],[Data da Venda]])</f>
        <v>5</v>
      </c>
      <c r="L296" s="159">
        <f>YEAR(Tabela1[[#This Row],[Data da Venda]])</f>
        <v>2013</v>
      </c>
    </row>
    <row r="297" spans="1:12" ht="15" hidden="1" customHeight="1">
      <c r="A297" s="149" t="s">
        <v>415</v>
      </c>
      <c r="B297" s="150" t="s">
        <v>416</v>
      </c>
      <c r="C297" s="155">
        <v>811</v>
      </c>
      <c r="D297" s="155" t="s">
        <v>328</v>
      </c>
      <c r="E297" s="155" t="s">
        <v>340</v>
      </c>
      <c r="F297" s="156">
        <v>41413</v>
      </c>
      <c r="G297" s="156" t="s">
        <v>154</v>
      </c>
      <c r="H297" s="156" t="s">
        <v>61</v>
      </c>
      <c r="I297" s="157">
        <v>329600</v>
      </c>
      <c r="J297" s="160">
        <v>1</v>
      </c>
      <c r="K297" s="159">
        <f>MONTH(Tabela1[[#This Row],[Data da Venda]])</f>
        <v>5</v>
      </c>
      <c r="L297" s="159">
        <f>YEAR(Tabela1[[#This Row],[Data da Venda]])</f>
        <v>2013</v>
      </c>
    </row>
    <row r="298" spans="1:12" ht="15" hidden="1" customHeight="1">
      <c r="A298" s="149" t="s">
        <v>182</v>
      </c>
      <c r="B298" s="150" t="s">
        <v>431</v>
      </c>
      <c r="C298" s="155">
        <v>25</v>
      </c>
      <c r="D298" s="155" t="s">
        <v>329</v>
      </c>
      <c r="E298" s="155" t="s">
        <v>339</v>
      </c>
      <c r="F298" s="156">
        <v>41413</v>
      </c>
      <c r="G298" s="156" t="s">
        <v>337</v>
      </c>
      <c r="H298" s="156" t="s">
        <v>33</v>
      </c>
      <c r="I298" s="157">
        <v>105000</v>
      </c>
      <c r="J298" s="160">
        <v>0.5</v>
      </c>
      <c r="K298" s="159">
        <f>MONTH(Tabela1[[#This Row],[Data da Venda]])</f>
        <v>5</v>
      </c>
      <c r="L298" s="159">
        <f>YEAR(Tabela1[[#This Row],[Data da Venda]])</f>
        <v>2013</v>
      </c>
    </row>
    <row r="299" spans="1:12" ht="15" hidden="1" customHeight="1">
      <c r="A299" s="149" t="s">
        <v>182</v>
      </c>
      <c r="B299" s="150" t="s">
        <v>431</v>
      </c>
      <c r="C299" s="155">
        <v>25</v>
      </c>
      <c r="D299" s="155" t="s">
        <v>329</v>
      </c>
      <c r="E299" s="155" t="s">
        <v>339</v>
      </c>
      <c r="F299" s="156">
        <v>41413</v>
      </c>
      <c r="G299" s="156" t="s">
        <v>465</v>
      </c>
      <c r="H299" s="156" t="s">
        <v>33</v>
      </c>
      <c r="I299" s="157">
        <v>105000</v>
      </c>
      <c r="J299" s="160">
        <v>0.5</v>
      </c>
      <c r="K299" s="159">
        <f>MONTH(Tabela1[[#This Row],[Data da Venda]])</f>
        <v>5</v>
      </c>
      <c r="L299" s="159">
        <f>YEAR(Tabela1[[#This Row],[Data da Venda]])</f>
        <v>2013</v>
      </c>
    </row>
    <row r="300" spans="1:12" ht="15" hidden="1" customHeight="1">
      <c r="A300" s="149" t="s">
        <v>53</v>
      </c>
      <c r="B300" s="150" t="s">
        <v>414</v>
      </c>
      <c r="C300" s="155">
        <v>22</v>
      </c>
      <c r="D300" s="155" t="s">
        <v>328</v>
      </c>
      <c r="E300" s="155" t="s">
        <v>339</v>
      </c>
      <c r="F300" s="156">
        <v>41413</v>
      </c>
      <c r="G300" s="156" t="s">
        <v>44</v>
      </c>
      <c r="H300" s="156" t="s">
        <v>25</v>
      </c>
      <c r="I300" s="157">
        <v>623000</v>
      </c>
      <c r="J300" s="160">
        <v>1</v>
      </c>
      <c r="K300" s="159">
        <f>MONTH(Tabela1[[#This Row],[Data da Venda]])</f>
        <v>5</v>
      </c>
      <c r="L300" s="159">
        <f>YEAR(Tabela1[[#This Row],[Data da Venda]])</f>
        <v>2013</v>
      </c>
    </row>
    <row r="301" spans="1:12" ht="15" hidden="1" customHeight="1">
      <c r="A301" s="149" t="s">
        <v>415</v>
      </c>
      <c r="B301" s="150" t="s">
        <v>416</v>
      </c>
      <c r="C301" s="155">
        <v>902</v>
      </c>
      <c r="D301" s="155" t="s">
        <v>328</v>
      </c>
      <c r="E301" s="155" t="s">
        <v>340</v>
      </c>
      <c r="F301" s="156">
        <v>41413</v>
      </c>
      <c r="G301" s="156" t="s">
        <v>62</v>
      </c>
      <c r="H301" s="156" t="s">
        <v>25</v>
      </c>
      <c r="I301" s="157">
        <v>346072</v>
      </c>
      <c r="J301" s="160">
        <v>1</v>
      </c>
      <c r="K301" s="159">
        <f>MONTH(Tabela1[[#This Row],[Data da Venda]])</f>
        <v>5</v>
      </c>
      <c r="L301" s="159">
        <f>YEAR(Tabela1[[#This Row],[Data da Venda]])</f>
        <v>2013</v>
      </c>
    </row>
    <row r="302" spans="1:12" ht="15" hidden="1" customHeight="1">
      <c r="A302" s="149" t="s">
        <v>415</v>
      </c>
      <c r="B302" s="150" t="s">
        <v>416</v>
      </c>
      <c r="C302" s="155">
        <v>903</v>
      </c>
      <c r="D302" s="155" t="s">
        <v>328</v>
      </c>
      <c r="E302" s="155" t="s">
        <v>340</v>
      </c>
      <c r="F302" s="156">
        <v>41413</v>
      </c>
      <c r="G302" s="156" t="s">
        <v>172</v>
      </c>
      <c r="H302" s="156" t="s">
        <v>24</v>
      </c>
      <c r="I302" s="157">
        <v>368400</v>
      </c>
      <c r="J302" s="160">
        <v>1</v>
      </c>
      <c r="K302" s="159">
        <f>MONTH(Tabela1[[#This Row],[Data da Venda]])</f>
        <v>5</v>
      </c>
      <c r="L302" s="159">
        <f>YEAR(Tabela1[[#This Row],[Data da Venda]])</f>
        <v>2013</v>
      </c>
    </row>
    <row r="303" spans="1:12" ht="15" hidden="1" customHeight="1">
      <c r="A303" s="149" t="s">
        <v>415</v>
      </c>
      <c r="B303" s="150" t="s">
        <v>416</v>
      </c>
      <c r="C303" s="155">
        <v>904</v>
      </c>
      <c r="D303" s="155" t="s">
        <v>328</v>
      </c>
      <c r="E303" s="155" t="s">
        <v>340</v>
      </c>
      <c r="F303" s="156">
        <v>41413</v>
      </c>
      <c r="G303" s="156" t="s">
        <v>41</v>
      </c>
      <c r="H303" s="156" t="s">
        <v>27</v>
      </c>
      <c r="I303" s="157">
        <v>230154.07</v>
      </c>
      <c r="J303" s="160">
        <v>0.5</v>
      </c>
      <c r="K303" s="159">
        <f>MONTH(Tabela1[[#This Row],[Data da Venda]])</f>
        <v>5</v>
      </c>
      <c r="L303" s="159">
        <f>YEAR(Tabela1[[#This Row],[Data da Venda]])</f>
        <v>2013</v>
      </c>
    </row>
    <row r="304" spans="1:12" ht="15" hidden="1" customHeight="1">
      <c r="A304" s="149" t="s">
        <v>415</v>
      </c>
      <c r="B304" s="150" t="s">
        <v>416</v>
      </c>
      <c r="C304" s="155">
        <v>904</v>
      </c>
      <c r="D304" s="155" t="s">
        <v>328</v>
      </c>
      <c r="E304" s="155" t="s">
        <v>340</v>
      </c>
      <c r="F304" s="156">
        <v>41413</v>
      </c>
      <c r="G304" s="156" t="s">
        <v>42</v>
      </c>
      <c r="H304" s="156" t="s">
        <v>27</v>
      </c>
      <c r="I304" s="157">
        <v>230154.07</v>
      </c>
      <c r="J304" s="160">
        <v>0.5</v>
      </c>
      <c r="K304" s="159">
        <f>MONTH(Tabela1[[#This Row],[Data da Venda]])</f>
        <v>5</v>
      </c>
      <c r="L304" s="159">
        <f>YEAR(Tabela1[[#This Row],[Data da Venda]])</f>
        <v>2013</v>
      </c>
    </row>
    <row r="305" spans="1:12" ht="15" hidden="1" customHeight="1">
      <c r="A305" s="149" t="s">
        <v>415</v>
      </c>
      <c r="B305" s="150" t="s">
        <v>416</v>
      </c>
      <c r="C305" s="155">
        <v>1007</v>
      </c>
      <c r="D305" s="155" t="s">
        <v>328</v>
      </c>
      <c r="E305" s="155" t="s">
        <v>340</v>
      </c>
      <c r="F305" s="156">
        <v>41413</v>
      </c>
      <c r="G305" s="156" t="s">
        <v>196</v>
      </c>
      <c r="H305" s="156" t="s">
        <v>24</v>
      </c>
      <c r="I305" s="157">
        <v>357871.3</v>
      </c>
      <c r="J305" s="160">
        <v>1</v>
      </c>
      <c r="K305" s="159">
        <f>MONTH(Tabela1[[#This Row],[Data da Venda]])</f>
        <v>5</v>
      </c>
      <c r="L305" s="159">
        <f>YEAR(Tabela1[[#This Row],[Data da Venda]])</f>
        <v>2013</v>
      </c>
    </row>
    <row r="306" spans="1:12" ht="15" hidden="1" customHeight="1">
      <c r="A306" s="149" t="s">
        <v>415</v>
      </c>
      <c r="B306" s="150" t="s">
        <v>416</v>
      </c>
      <c r="C306" s="155">
        <v>1009</v>
      </c>
      <c r="D306" s="155" t="s">
        <v>328</v>
      </c>
      <c r="E306" s="155" t="s">
        <v>340</v>
      </c>
      <c r="F306" s="156">
        <v>41413</v>
      </c>
      <c r="G306" s="156" t="s">
        <v>153</v>
      </c>
      <c r="H306" s="156" t="s">
        <v>61</v>
      </c>
      <c r="I306" s="157">
        <v>469471.28</v>
      </c>
      <c r="J306" s="160">
        <v>1</v>
      </c>
      <c r="K306" s="159">
        <f>MONTH(Tabela1[[#This Row],[Data da Venda]])</f>
        <v>5</v>
      </c>
      <c r="L306" s="159">
        <f>YEAR(Tabela1[[#This Row],[Data da Venda]])</f>
        <v>2013</v>
      </c>
    </row>
    <row r="307" spans="1:12" ht="15" hidden="1" customHeight="1">
      <c r="A307" s="149" t="s">
        <v>415</v>
      </c>
      <c r="B307" s="150" t="s">
        <v>416</v>
      </c>
      <c r="C307" s="155">
        <v>1015</v>
      </c>
      <c r="D307" s="155" t="s">
        <v>328</v>
      </c>
      <c r="E307" s="155" t="s">
        <v>340</v>
      </c>
      <c r="F307" s="156">
        <v>41413</v>
      </c>
      <c r="G307" s="156" t="s">
        <v>159</v>
      </c>
      <c r="H307" s="156" t="s">
        <v>23</v>
      </c>
      <c r="I307" s="157">
        <v>179138.76</v>
      </c>
      <c r="J307" s="160">
        <v>0.5</v>
      </c>
      <c r="K307" s="159">
        <f>MONTH(Tabela1[[#This Row],[Data da Venda]])</f>
        <v>5</v>
      </c>
      <c r="L307" s="159">
        <f>YEAR(Tabela1[[#This Row],[Data da Venda]])</f>
        <v>2013</v>
      </c>
    </row>
    <row r="308" spans="1:12" ht="15" hidden="1" customHeight="1">
      <c r="A308" s="149" t="s">
        <v>415</v>
      </c>
      <c r="B308" s="150" t="s">
        <v>416</v>
      </c>
      <c r="C308" s="155">
        <v>1015</v>
      </c>
      <c r="D308" s="155" t="s">
        <v>328</v>
      </c>
      <c r="E308" s="155" t="s">
        <v>340</v>
      </c>
      <c r="F308" s="156">
        <v>41413</v>
      </c>
      <c r="G308" s="156" t="s">
        <v>42</v>
      </c>
      <c r="H308" s="156" t="s">
        <v>27</v>
      </c>
      <c r="I308" s="157">
        <v>179138.76</v>
      </c>
      <c r="J308" s="160">
        <v>0.5</v>
      </c>
      <c r="K308" s="159">
        <f>MONTH(Tabela1[[#This Row],[Data da Venda]])</f>
        <v>5</v>
      </c>
      <c r="L308" s="159">
        <f>YEAR(Tabela1[[#This Row],[Data da Venda]])</f>
        <v>2013</v>
      </c>
    </row>
    <row r="309" spans="1:12" ht="15" hidden="1" customHeight="1">
      <c r="A309" s="149" t="s">
        <v>415</v>
      </c>
      <c r="B309" s="150" t="s">
        <v>416</v>
      </c>
      <c r="C309" s="155">
        <v>1016</v>
      </c>
      <c r="D309" s="155" t="s">
        <v>328</v>
      </c>
      <c r="E309" s="155" t="s">
        <v>340</v>
      </c>
      <c r="F309" s="156">
        <v>41413</v>
      </c>
      <c r="G309" s="156" t="s">
        <v>218</v>
      </c>
      <c r="H309" s="156" t="s">
        <v>26</v>
      </c>
      <c r="I309" s="157">
        <v>182188.42</v>
      </c>
      <c r="J309" s="160">
        <v>0.5</v>
      </c>
      <c r="K309" s="159">
        <f>MONTH(Tabela1[[#This Row],[Data da Venda]])</f>
        <v>5</v>
      </c>
      <c r="L309" s="159">
        <f>YEAR(Tabela1[[#This Row],[Data da Venda]])</f>
        <v>2013</v>
      </c>
    </row>
    <row r="310" spans="1:12" ht="15" hidden="1" customHeight="1">
      <c r="A310" s="149" t="s">
        <v>415</v>
      </c>
      <c r="B310" s="150" t="s">
        <v>416</v>
      </c>
      <c r="C310" s="155">
        <v>1016</v>
      </c>
      <c r="D310" s="155" t="s">
        <v>328</v>
      </c>
      <c r="E310" s="155" t="s">
        <v>340</v>
      </c>
      <c r="F310" s="156">
        <v>41413</v>
      </c>
      <c r="G310" s="156" t="s">
        <v>206</v>
      </c>
      <c r="H310" s="156" t="s">
        <v>25</v>
      </c>
      <c r="I310" s="157">
        <v>182188.42</v>
      </c>
      <c r="J310" s="160">
        <v>0.5</v>
      </c>
      <c r="K310" s="159">
        <f>MONTH(Tabela1[[#This Row],[Data da Venda]])</f>
        <v>5</v>
      </c>
      <c r="L310" s="159">
        <f>YEAR(Tabela1[[#This Row],[Data da Venda]])</f>
        <v>2013</v>
      </c>
    </row>
    <row r="311" spans="1:12" ht="15" hidden="1" customHeight="1">
      <c r="A311" s="149" t="s">
        <v>415</v>
      </c>
      <c r="B311" s="150" t="s">
        <v>416</v>
      </c>
      <c r="C311" s="155">
        <v>1101</v>
      </c>
      <c r="D311" s="155" t="s">
        <v>328</v>
      </c>
      <c r="E311" s="155" t="s">
        <v>340</v>
      </c>
      <c r="F311" s="156">
        <v>41413</v>
      </c>
      <c r="G311" s="156" t="s">
        <v>218</v>
      </c>
      <c r="H311" s="156" t="s">
        <v>26</v>
      </c>
      <c r="I311" s="157">
        <v>367730.43</v>
      </c>
      <c r="J311" s="160">
        <v>1</v>
      </c>
      <c r="K311" s="159">
        <f>MONTH(Tabela1[[#This Row],[Data da Venda]])</f>
        <v>5</v>
      </c>
      <c r="L311" s="159">
        <f>YEAR(Tabela1[[#This Row],[Data da Venda]])</f>
        <v>2013</v>
      </c>
    </row>
    <row r="312" spans="1:12" ht="15" hidden="1" customHeight="1">
      <c r="A312" s="149" t="s">
        <v>415</v>
      </c>
      <c r="B312" s="150" t="s">
        <v>416</v>
      </c>
      <c r="C312" s="155">
        <v>1103</v>
      </c>
      <c r="D312" s="155" t="s">
        <v>328</v>
      </c>
      <c r="E312" s="155" t="s">
        <v>340</v>
      </c>
      <c r="F312" s="156">
        <v>41413</v>
      </c>
      <c r="G312" s="156" t="s">
        <v>206</v>
      </c>
      <c r="H312" s="156" t="s">
        <v>25</v>
      </c>
      <c r="I312" s="157">
        <v>367730.43</v>
      </c>
      <c r="J312" s="160">
        <v>1</v>
      </c>
      <c r="K312" s="159">
        <f>MONTH(Tabela1[[#This Row],[Data da Venda]])</f>
        <v>5</v>
      </c>
      <c r="L312" s="159">
        <f>YEAR(Tabela1[[#This Row],[Data da Venda]])</f>
        <v>2013</v>
      </c>
    </row>
    <row r="313" spans="1:12" ht="15" hidden="1" customHeight="1">
      <c r="A313" s="149" t="s">
        <v>415</v>
      </c>
      <c r="B313" s="150" t="s">
        <v>416</v>
      </c>
      <c r="C313" s="155">
        <v>1108</v>
      </c>
      <c r="D313" s="155" t="s">
        <v>328</v>
      </c>
      <c r="E313" s="155" t="s">
        <v>340</v>
      </c>
      <c r="F313" s="156">
        <v>41413</v>
      </c>
      <c r="G313" s="156" t="s">
        <v>65</v>
      </c>
      <c r="H313" s="156" t="s">
        <v>25</v>
      </c>
      <c r="I313" s="157">
        <v>410000</v>
      </c>
      <c r="J313" s="160">
        <v>1</v>
      </c>
      <c r="K313" s="159">
        <f>MONTH(Tabela1[[#This Row],[Data da Venda]])</f>
        <v>5</v>
      </c>
      <c r="L313" s="159">
        <f>YEAR(Tabela1[[#This Row],[Data da Venda]])</f>
        <v>2013</v>
      </c>
    </row>
    <row r="314" spans="1:12" ht="15" hidden="1" customHeight="1">
      <c r="A314" s="149" t="s">
        <v>415</v>
      </c>
      <c r="B314" s="150" t="s">
        <v>416</v>
      </c>
      <c r="C314" s="155">
        <v>1110</v>
      </c>
      <c r="D314" s="155" t="s">
        <v>328</v>
      </c>
      <c r="E314" s="155" t="s">
        <v>340</v>
      </c>
      <c r="F314" s="156">
        <v>41413</v>
      </c>
      <c r="G314" s="156" t="s">
        <v>161</v>
      </c>
      <c r="H314" s="156" t="s">
        <v>25</v>
      </c>
      <c r="I314" s="157">
        <v>177799.85</v>
      </c>
      <c r="J314" s="160">
        <v>0.5</v>
      </c>
      <c r="K314" s="159">
        <f>MONTH(Tabela1[[#This Row],[Data da Venda]])</f>
        <v>5</v>
      </c>
      <c r="L314" s="159">
        <f>YEAR(Tabela1[[#This Row],[Data da Venda]])</f>
        <v>2013</v>
      </c>
    </row>
    <row r="315" spans="1:12" ht="15" hidden="1" customHeight="1">
      <c r="A315" s="149" t="s">
        <v>415</v>
      </c>
      <c r="B315" s="150" t="s">
        <v>416</v>
      </c>
      <c r="C315" s="155">
        <v>1110</v>
      </c>
      <c r="D315" s="155" t="s">
        <v>328</v>
      </c>
      <c r="E315" s="155" t="s">
        <v>340</v>
      </c>
      <c r="F315" s="156">
        <v>41413</v>
      </c>
      <c r="G315" s="156" t="s">
        <v>63</v>
      </c>
      <c r="H315" s="156" t="s">
        <v>25</v>
      </c>
      <c r="I315" s="157">
        <v>177799.85</v>
      </c>
      <c r="J315" s="160">
        <v>0.5</v>
      </c>
      <c r="K315" s="159">
        <f>MONTH(Tabela1[[#This Row],[Data da Venda]])</f>
        <v>5</v>
      </c>
      <c r="L315" s="159">
        <f>YEAR(Tabela1[[#This Row],[Data da Venda]])</f>
        <v>2013</v>
      </c>
    </row>
    <row r="316" spans="1:12" ht="15" hidden="1" customHeight="1">
      <c r="A316" s="149" t="s">
        <v>415</v>
      </c>
      <c r="B316" s="150" t="s">
        <v>416</v>
      </c>
      <c r="C316" s="155">
        <v>1111</v>
      </c>
      <c r="D316" s="155" t="s">
        <v>328</v>
      </c>
      <c r="E316" s="155" t="s">
        <v>340</v>
      </c>
      <c r="F316" s="156">
        <v>41413</v>
      </c>
      <c r="G316" s="156" t="s">
        <v>159</v>
      </c>
      <c r="H316" s="156" t="s">
        <v>23</v>
      </c>
      <c r="I316" s="157">
        <v>189081</v>
      </c>
      <c r="J316" s="160">
        <v>0.5</v>
      </c>
      <c r="K316" s="159">
        <f>MONTH(Tabela1[[#This Row],[Data da Venda]])</f>
        <v>5</v>
      </c>
      <c r="L316" s="159">
        <f>YEAR(Tabela1[[#This Row],[Data da Venda]])</f>
        <v>2013</v>
      </c>
    </row>
    <row r="317" spans="1:12" ht="15" hidden="1" customHeight="1">
      <c r="A317" s="149" t="s">
        <v>415</v>
      </c>
      <c r="B317" s="150" t="s">
        <v>416</v>
      </c>
      <c r="C317" s="155">
        <v>1111</v>
      </c>
      <c r="D317" s="155" t="s">
        <v>328</v>
      </c>
      <c r="E317" s="155" t="s">
        <v>340</v>
      </c>
      <c r="F317" s="156">
        <v>41413</v>
      </c>
      <c r="G317" s="156" t="s">
        <v>160</v>
      </c>
      <c r="H317" s="156" t="s">
        <v>23</v>
      </c>
      <c r="I317" s="157">
        <v>189081</v>
      </c>
      <c r="J317" s="160">
        <v>0.5</v>
      </c>
      <c r="K317" s="159">
        <f>MONTH(Tabela1[[#This Row],[Data da Venda]])</f>
        <v>5</v>
      </c>
      <c r="L317" s="159">
        <f>YEAR(Tabela1[[#This Row],[Data da Venda]])</f>
        <v>2013</v>
      </c>
    </row>
    <row r="318" spans="1:12" ht="15" hidden="1" customHeight="1">
      <c r="A318" s="149" t="s">
        <v>415</v>
      </c>
      <c r="B318" s="150" t="s">
        <v>416</v>
      </c>
      <c r="C318" s="155">
        <v>1115</v>
      </c>
      <c r="D318" s="155" t="s">
        <v>328</v>
      </c>
      <c r="E318" s="155" t="s">
        <v>340</v>
      </c>
      <c r="F318" s="156">
        <v>41413</v>
      </c>
      <c r="G318" s="156" t="s">
        <v>147</v>
      </c>
      <c r="H318" s="150" t="s">
        <v>26</v>
      </c>
      <c r="I318" s="157">
        <v>357010.67</v>
      </c>
      <c r="J318" s="160">
        <v>1</v>
      </c>
      <c r="K318" s="159">
        <f>MONTH(Tabela1[[#This Row],[Data da Venda]])</f>
        <v>5</v>
      </c>
      <c r="L318" s="159">
        <f>YEAR(Tabela1[[#This Row],[Data da Venda]])</f>
        <v>2013</v>
      </c>
    </row>
    <row r="319" spans="1:12" ht="15" hidden="1" customHeight="1">
      <c r="A319" s="149" t="s">
        <v>415</v>
      </c>
      <c r="B319" s="150" t="s">
        <v>416</v>
      </c>
      <c r="C319" s="155">
        <v>1203</v>
      </c>
      <c r="D319" s="155" t="s">
        <v>328</v>
      </c>
      <c r="E319" s="155" t="s">
        <v>340</v>
      </c>
      <c r="F319" s="156">
        <v>41413</v>
      </c>
      <c r="G319" s="156" t="s">
        <v>313</v>
      </c>
      <c r="H319" s="156" t="s">
        <v>25</v>
      </c>
      <c r="I319" s="157">
        <v>330652.24</v>
      </c>
      <c r="J319" s="160">
        <v>1</v>
      </c>
      <c r="K319" s="159">
        <f>MONTH(Tabela1[[#This Row],[Data da Venda]])</f>
        <v>5</v>
      </c>
      <c r="L319" s="159">
        <f>YEAR(Tabela1[[#This Row],[Data da Venda]])</f>
        <v>2013</v>
      </c>
    </row>
    <row r="320" spans="1:12" ht="15" hidden="1" customHeight="1">
      <c r="A320" s="149" t="s">
        <v>415</v>
      </c>
      <c r="B320" s="150" t="s">
        <v>416</v>
      </c>
      <c r="C320" s="155">
        <v>1305</v>
      </c>
      <c r="D320" s="155" t="s">
        <v>328</v>
      </c>
      <c r="E320" s="155" t="s">
        <v>340</v>
      </c>
      <c r="F320" s="156">
        <v>41413</v>
      </c>
      <c r="G320" s="156" t="s">
        <v>237</v>
      </c>
      <c r="H320" s="156" t="s">
        <v>27</v>
      </c>
      <c r="I320" s="157">
        <v>659366</v>
      </c>
      <c r="J320" s="160">
        <v>1</v>
      </c>
      <c r="K320" s="159">
        <f>MONTH(Tabela1[[#This Row],[Data da Venda]])</f>
        <v>5</v>
      </c>
      <c r="L320" s="159">
        <f>YEAR(Tabela1[[#This Row],[Data da Venda]])</f>
        <v>2013</v>
      </c>
    </row>
    <row r="321" spans="1:12" ht="15" hidden="1" customHeight="1">
      <c r="A321" s="149" t="s">
        <v>415</v>
      </c>
      <c r="B321" s="150" t="s">
        <v>416</v>
      </c>
      <c r="C321" s="155">
        <v>1307</v>
      </c>
      <c r="D321" s="155" t="s">
        <v>328</v>
      </c>
      <c r="E321" s="155" t="s">
        <v>340</v>
      </c>
      <c r="F321" s="156">
        <v>41413</v>
      </c>
      <c r="G321" s="156" t="s">
        <v>153</v>
      </c>
      <c r="H321" s="156" t="s">
        <v>61</v>
      </c>
      <c r="I321" s="157">
        <v>393944.04</v>
      </c>
      <c r="J321" s="160">
        <v>1</v>
      </c>
      <c r="K321" s="159">
        <f>MONTH(Tabela1[[#This Row],[Data da Venda]])</f>
        <v>5</v>
      </c>
      <c r="L321" s="159">
        <f>YEAR(Tabela1[[#This Row],[Data da Venda]])</f>
        <v>2013</v>
      </c>
    </row>
    <row r="322" spans="1:12" ht="15" hidden="1" customHeight="1">
      <c r="A322" s="149" t="s">
        <v>415</v>
      </c>
      <c r="B322" s="150" t="s">
        <v>416</v>
      </c>
      <c r="C322" s="155">
        <v>1314</v>
      </c>
      <c r="D322" s="155" t="s">
        <v>328</v>
      </c>
      <c r="E322" s="155" t="s">
        <v>340</v>
      </c>
      <c r="F322" s="156">
        <v>41413</v>
      </c>
      <c r="G322" s="156" t="s">
        <v>159</v>
      </c>
      <c r="H322" s="156" t="s">
        <v>23</v>
      </c>
      <c r="I322" s="157">
        <v>181883.01</v>
      </c>
      <c r="J322" s="160">
        <v>0.5</v>
      </c>
      <c r="K322" s="159">
        <f>MONTH(Tabela1[[#This Row],[Data da Venda]])</f>
        <v>5</v>
      </c>
      <c r="L322" s="159">
        <f>YEAR(Tabela1[[#This Row],[Data da Venda]])</f>
        <v>2013</v>
      </c>
    </row>
    <row r="323" spans="1:12" ht="15" hidden="1" customHeight="1">
      <c r="A323" s="149" t="s">
        <v>415</v>
      </c>
      <c r="B323" s="150" t="s">
        <v>416</v>
      </c>
      <c r="C323" s="155">
        <v>1314</v>
      </c>
      <c r="D323" s="155" t="s">
        <v>328</v>
      </c>
      <c r="E323" s="155" t="s">
        <v>340</v>
      </c>
      <c r="F323" s="156">
        <v>41413</v>
      </c>
      <c r="G323" s="156" t="s">
        <v>42</v>
      </c>
      <c r="H323" s="156" t="s">
        <v>27</v>
      </c>
      <c r="I323" s="157">
        <v>181883.01</v>
      </c>
      <c r="J323" s="160">
        <v>0.5</v>
      </c>
      <c r="K323" s="159">
        <f>MONTH(Tabela1[[#This Row],[Data da Venda]])</f>
        <v>5</v>
      </c>
      <c r="L323" s="159">
        <f>YEAR(Tabela1[[#This Row],[Data da Venda]])</f>
        <v>2013</v>
      </c>
    </row>
    <row r="324" spans="1:12" ht="15" hidden="1" customHeight="1">
      <c r="A324" s="149" t="s">
        <v>415</v>
      </c>
      <c r="B324" s="150" t="s">
        <v>416</v>
      </c>
      <c r="C324" s="155">
        <v>1402</v>
      </c>
      <c r="D324" s="155" t="s">
        <v>328</v>
      </c>
      <c r="E324" s="155" t="s">
        <v>340</v>
      </c>
      <c r="F324" s="156">
        <v>41413</v>
      </c>
      <c r="G324" s="156" t="s">
        <v>50</v>
      </c>
      <c r="H324" s="156" t="s">
        <v>24</v>
      </c>
      <c r="I324" s="157">
        <v>382664.01</v>
      </c>
      <c r="J324" s="160">
        <v>1</v>
      </c>
      <c r="K324" s="159">
        <f>MONTH(Tabela1[[#This Row],[Data da Venda]])</f>
        <v>5</v>
      </c>
      <c r="L324" s="159">
        <f>YEAR(Tabela1[[#This Row],[Data da Venda]])</f>
        <v>2013</v>
      </c>
    </row>
    <row r="325" spans="1:12" ht="15" hidden="1" customHeight="1">
      <c r="A325" s="149" t="s">
        <v>415</v>
      </c>
      <c r="B325" s="150" t="s">
        <v>416</v>
      </c>
      <c r="C325" s="155">
        <v>1409</v>
      </c>
      <c r="D325" s="155" t="s">
        <v>328</v>
      </c>
      <c r="E325" s="155" t="s">
        <v>340</v>
      </c>
      <c r="F325" s="156">
        <v>41413</v>
      </c>
      <c r="G325" s="156" t="s">
        <v>38</v>
      </c>
      <c r="H325" s="156" t="s">
        <v>23</v>
      </c>
      <c r="I325" s="157">
        <v>477677.91</v>
      </c>
      <c r="J325" s="158">
        <v>1</v>
      </c>
      <c r="K325" s="159">
        <f>MONTH(Tabela1[[#This Row],[Data da Venda]])</f>
        <v>5</v>
      </c>
      <c r="L325" s="159">
        <f>YEAR(Tabela1[[#This Row],[Data da Venda]])</f>
        <v>2013</v>
      </c>
    </row>
    <row r="326" spans="1:12" ht="15" hidden="1" customHeight="1">
      <c r="A326" s="149" t="s">
        <v>415</v>
      </c>
      <c r="B326" s="150" t="s">
        <v>416</v>
      </c>
      <c r="C326" s="155">
        <v>1410</v>
      </c>
      <c r="D326" s="155" t="s">
        <v>328</v>
      </c>
      <c r="E326" s="155" t="s">
        <v>340</v>
      </c>
      <c r="F326" s="156">
        <v>41413</v>
      </c>
      <c r="G326" s="156" t="s">
        <v>309</v>
      </c>
      <c r="H326" s="156" t="s">
        <v>26</v>
      </c>
      <c r="I326" s="157">
        <v>355700</v>
      </c>
      <c r="J326" s="160">
        <v>1</v>
      </c>
      <c r="K326" s="159">
        <f>MONTH(Tabela1[[#This Row],[Data da Venda]])</f>
        <v>5</v>
      </c>
      <c r="L326" s="159">
        <f>YEAR(Tabela1[[#This Row],[Data da Venda]])</f>
        <v>2013</v>
      </c>
    </row>
    <row r="327" spans="1:12" ht="15" hidden="1" customHeight="1">
      <c r="A327" s="149" t="s">
        <v>415</v>
      </c>
      <c r="B327" s="150" t="s">
        <v>416</v>
      </c>
      <c r="C327" s="155">
        <v>1513</v>
      </c>
      <c r="D327" s="155" t="s">
        <v>328</v>
      </c>
      <c r="E327" s="155" t="s">
        <v>340</v>
      </c>
      <c r="F327" s="156">
        <v>41413</v>
      </c>
      <c r="G327" s="156" t="s">
        <v>62</v>
      </c>
      <c r="H327" s="156" t="s">
        <v>25</v>
      </c>
      <c r="I327" s="157">
        <v>480200</v>
      </c>
      <c r="J327" s="160">
        <v>1</v>
      </c>
      <c r="K327" s="159">
        <f>MONTH(Tabela1[[#This Row],[Data da Venda]])</f>
        <v>5</v>
      </c>
      <c r="L327" s="159">
        <f>YEAR(Tabela1[[#This Row],[Data da Venda]])</f>
        <v>2013</v>
      </c>
    </row>
    <row r="328" spans="1:12" ht="15" hidden="1" customHeight="1">
      <c r="A328" s="149" t="s">
        <v>415</v>
      </c>
      <c r="B328" s="150" t="s">
        <v>416</v>
      </c>
      <c r="C328" s="155">
        <v>1514</v>
      </c>
      <c r="D328" s="155" t="s">
        <v>328</v>
      </c>
      <c r="E328" s="155" t="s">
        <v>340</v>
      </c>
      <c r="F328" s="156">
        <v>41413</v>
      </c>
      <c r="G328" s="156" t="s">
        <v>176</v>
      </c>
      <c r="H328" s="156" t="s">
        <v>79</v>
      </c>
      <c r="I328" s="157">
        <v>186526.58</v>
      </c>
      <c r="J328" s="158">
        <v>0.5</v>
      </c>
      <c r="K328" s="159">
        <f>MONTH(Tabela1[[#This Row],[Data da Venda]])</f>
        <v>5</v>
      </c>
      <c r="L328" s="159">
        <f>YEAR(Tabela1[[#This Row],[Data da Venda]])</f>
        <v>2013</v>
      </c>
    </row>
    <row r="329" spans="1:12" ht="15" hidden="1" customHeight="1">
      <c r="A329" s="149" t="s">
        <v>415</v>
      </c>
      <c r="B329" s="150" t="s">
        <v>416</v>
      </c>
      <c r="C329" s="155">
        <v>1514</v>
      </c>
      <c r="D329" s="155" t="s">
        <v>328</v>
      </c>
      <c r="E329" s="155" t="s">
        <v>340</v>
      </c>
      <c r="F329" s="156">
        <v>41413</v>
      </c>
      <c r="G329" s="156" t="s">
        <v>177</v>
      </c>
      <c r="H329" s="156" t="s">
        <v>79</v>
      </c>
      <c r="I329" s="157">
        <v>186526.58</v>
      </c>
      <c r="J329" s="158">
        <v>0.5</v>
      </c>
      <c r="K329" s="159">
        <f>MONTH(Tabela1[[#This Row],[Data da Venda]])</f>
        <v>5</v>
      </c>
      <c r="L329" s="159">
        <f>YEAR(Tabela1[[#This Row],[Data da Venda]])</f>
        <v>2013</v>
      </c>
    </row>
    <row r="330" spans="1:12" ht="15" hidden="1" customHeight="1">
      <c r="A330" s="149" t="s">
        <v>415</v>
      </c>
      <c r="B330" s="150" t="s">
        <v>416</v>
      </c>
      <c r="C330" s="155">
        <v>1602</v>
      </c>
      <c r="D330" s="155" t="s">
        <v>328</v>
      </c>
      <c r="E330" s="155" t="s">
        <v>340</v>
      </c>
      <c r="F330" s="156">
        <v>41413</v>
      </c>
      <c r="G330" s="156" t="s">
        <v>62</v>
      </c>
      <c r="H330" s="156" t="s">
        <v>25</v>
      </c>
      <c r="I330" s="157">
        <v>370981.31</v>
      </c>
      <c r="J330" s="160">
        <v>1</v>
      </c>
      <c r="K330" s="159">
        <f>MONTH(Tabela1[[#This Row],[Data da Venda]])</f>
        <v>5</v>
      </c>
      <c r="L330" s="159">
        <f>YEAR(Tabela1[[#This Row],[Data da Venda]])</f>
        <v>2013</v>
      </c>
    </row>
    <row r="331" spans="1:12" ht="15" hidden="1" customHeight="1">
      <c r="A331" s="149" t="s">
        <v>415</v>
      </c>
      <c r="B331" s="150" t="s">
        <v>416</v>
      </c>
      <c r="C331" s="155">
        <v>1605</v>
      </c>
      <c r="D331" s="155" t="s">
        <v>328</v>
      </c>
      <c r="E331" s="155" t="s">
        <v>340</v>
      </c>
      <c r="F331" s="156">
        <v>41413</v>
      </c>
      <c r="G331" s="156" t="s">
        <v>75</v>
      </c>
      <c r="H331" s="156" t="s">
        <v>27</v>
      </c>
      <c r="I331" s="157">
        <v>324899</v>
      </c>
      <c r="J331" s="160">
        <v>0.5</v>
      </c>
      <c r="K331" s="159">
        <f>MONTH(Tabela1[[#This Row],[Data da Venda]])</f>
        <v>5</v>
      </c>
      <c r="L331" s="159">
        <f>YEAR(Tabela1[[#This Row],[Data da Venda]])</f>
        <v>2013</v>
      </c>
    </row>
    <row r="332" spans="1:12" ht="15" hidden="1" customHeight="1">
      <c r="A332" s="149" t="s">
        <v>415</v>
      </c>
      <c r="B332" s="150" t="s">
        <v>416</v>
      </c>
      <c r="C332" s="155">
        <v>1605</v>
      </c>
      <c r="D332" s="155" t="s">
        <v>328</v>
      </c>
      <c r="E332" s="155" t="s">
        <v>340</v>
      </c>
      <c r="F332" s="156">
        <v>41413</v>
      </c>
      <c r="G332" s="156" t="s">
        <v>155</v>
      </c>
      <c r="H332" s="156" t="s">
        <v>27</v>
      </c>
      <c r="I332" s="157">
        <v>324899</v>
      </c>
      <c r="J332" s="160">
        <v>0.5</v>
      </c>
      <c r="K332" s="159">
        <f>MONTH(Tabela1[[#This Row],[Data da Venda]])</f>
        <v>5</v>
      </c>
      <c r="L332" s="159">
        <f>YEAR(Tabela1[[#This Row],[Data da Venda]])</f>
        <v>2013</v>
      </c>
    </row>
    <row r="333" spans="1:12" ht="15" hidden="1" customHeight="1">
      <c r="A333" s="149" t="s">
        <v>415</v>
      </c>
      <c r="B333" s="150" t="s">
        <v>416</v>
      </c>
      <c r="C333" s="155">
        <v>1606</v>
      </c>
      <c r="D333" s="155" t="s">
        <v>328</v>
      </c>
      <c r="E333" s="155" t="s">
        <v>340</v>
      </c>
      <c r="F333" s="156">
        <v>41413</v>
      </c>
      <c r="G333" s="156" t="s">
        <v>75</v>
      </c>
      <c r="H333" s="156" t="s">
        <v>27</v>
      </c>
      <c r="I333" s="157">
        <v>184900.5</v>
      </c>
      <c r="J333" s="160">
        <v>0.5</v>
      </c>
      <c r="K333" s="159">
        <f>MONTH(Tabela1[[#This Row],[Data da Venda]])</f>
        <v>5</v>
      </c>
      <c r="L333" s="159">
        <f>YEAR(Tabela1[[#This Row],[Data da Venda]])</f>
        <v>2013</v>
      </c>
    </row>
    <row r="334" spans="1:12" ht="15" hidden="1" customHeight="1">
      <c r="A334" s="149" t="s">
        <v>415</v>
      </c>
      <c r="B334" s="150" t="s">
        <v>416</v>
      </c>
      <c r="C334" s="155">
        <v>1606</v>
      </c>
      <c r="D334" s="155" t="s">
        <v>328</v>
      </c>
      <c r="E334" s="155" t="s">
        <v>340</v>
      </c>
      <c r="F334" s="156">
        <v>41413</v>
      </c>
      <c r="G334" s="156" t="s">
        <v>155</v>
      </c>
      <c r="H334" s="156" t="s">
        <v>27</v>
      </c>
      <c r="I334" s="157">
        <v>184900.5</v>
      </c>
      <c r="J334" s="160">
        <v>0.5</v>
      </c>
      <c r="K334" s="159">
        <f>MONTH(Tabela1[[#This Row],[Data da Venda]])</f>
        <v>5</v>
      </c>
      <c r="L334" s="159">
        <f>YEAR(Tabela1[[#This Row],[Data da Venda]])</f>
        <v>2013</v>
      </c>
    </row>
    <row r="335" spans="1:12" ht="15" hidden="1" customHeight="1">
      <c r="A335" s="149" t="s">
        <v>415</v>
      </c>
      <c r="B335" s="150" t="s">
        <v>416</v>
      </c>
      <c r="C335" s="155">
        <v>1612</v>
      </c>
      <c r="D335" s="155" t="s">
        <v>328</v>
      </c>
      <c r="E335" s="155" t="s">
        <v>340</v>
      </c>
      <c r="F335" s="156">
        <v>41413</v>
      </c>
      <c r="G335" s="156" t="s">
        <v>75</v>
      </c>
      <c r="H335" s="156" t="s">
        <v>27</v>
      </c>
      <c r="I335" s="157">
        <v>337343.13</v>
      </c>
      <c r="J335" s="160">
        <v>0.5</v>
      </c>
      <c r="K335" s="159">
        <f>MONTH(Tabela1[[#This Row],[Data da Venda]])</f>
        <v>5</v>
      </c>
      <c r="L335" s="159">
        <f>YEAR(Tabela1[[#This Row],[Data da Venda]])</f>
        <v>2013</v>
      </c>
    </row>
    <row r="336" spans="1:12" ht="15" hidden="1" customHeight="1">
      <c r="A336" s="149" t="s">
        <v>415</v>
      </c>
      <c r="B336" s="150" t="s">
        <v>416</v>
      </c>
      <c r="C336" s="155">
        <v>1612</v>
      </c>
      <c r="D336" s="155" t="s">
        <v>328</v>
      </c>
      <c r="E336" s="155" t="s">
        <v>340</v>
      </c>
      <c r="F336" s="156">
        <v>41413</v>
      </c>
      <c r="G336" s="156" t="s">
        <v>155</v>
      </c>
      <c r="H336" s="156" t="s">
        <v>27</v>
      </c>
      <c r="I336" s="157">
        <v>337343.13</v>
      </c>
      <c r="J336" s="160">
        <v>0.5</v>
      </c>
      <c r="K336" s="159">
        <f>MONTH(Tabela1[[#This Row],[Data da Venda]])</f>
        <v>5</v>
      </c>
      <c r="L336" s="159">
        <f>YEAR(Tabela1[[#This Row],[Data da Venda]])</f>
        <v>2013</v>
      </c>
    </row>
    <row r="337" spans="1:12" ht="15" hidden="1" customHeight="1">
      <c r="A337" s="149" t="s">
        <v>415</v>
      </c>
      <c r="B337" s="150" t="s">
        <v>416</v>
      </c>
      <c r="C337" s="155">
        <v>1706</v>
      </c>
      <c r="D337" s="155" t="s">
        <v>328</v>
      </c>
      <c r="E337" s="155" t="s">
        <v>340</v>
      </c>
      <c r="F337" s="156">
        <v>41413</v>
      </c>
      <c r="G337" s="156" t="s">
        <v>71</v>
      </c>
      <c r="H337" s="156" t="s">
        <v>24</v>
      </c>
      <c r="I337" s="157">
        <v>185950</v>
      </c>
      <c r="J337" s="160">
        <v>0.5</v>
      </c>
      <c r="K337" s="159">
        <f>MONTH(Tabela1[[#This Row],[Data da Venda]])</f>
        <v>5</v>
      </c>
      <c r="L337" s="159">
        <f>YEAR(Tabela1[[#This Row],[Data da Venda]])</f>
        <v>2013</v>
      </c>
    </row>
    <row r="338" spans="1:12" ht="15" hidden="1" customHeight="1">
      <c r="A338" s="149" t="s">
        <v>415</v>
      </c>
      <c r="B338" s="150" t="s">
        <v>416</v>
      </c>
      <c r="C338" s="155">
        <v>1706</v>
      </c>
      <c r="D338" s="155" t="s">
        <v>328</v>
      </c>
      <c r="E338" s="155" t="s">
        <v>340</v>
      </c>
      <c r="F338" s="156">
        <v>41413</v>
      </c>
      <c r="G338" s="156" t="s">
        <v>307</v>
      </c>
      <c r="H338" s="156" t="s">
        <v>24</v>
      </c>
      <c r="I338" s="157">
        <v>185950</v>
      </c>
      <c r="J338" s="160">
        <v>0.5</v>
      </c>
      <c r="K338" s="159">
        <f>MONTH(Tabela1[[#This Row],[Data da Venda]])</f>
        <v>5</v>
      </c>
      <c r="L338" s="159">
        <f>YEAR(Tabela1[[#This Row],[Data da Venda]])</f>
        <v>2013</v>
      </c>
    </row>
    <row r="339" spans="1:12" ht="15" hidden="1" customHeight="1">
      <c r="A339" s="149" t="s">
        <v>415</v>
      </c>
      <c r="B339" s="150" t="s">
        <v>416</v>
      </c>
      <c r="C339" s="155">
        <v>1713</v>
      </c>
      <c r="D339" s="155" t="s">
        <v>328</v>
      </c>
      <c r="E339" s="155" t="s">
        <v>340</v>
      </c>
      <c r="F339" s="156">
        <v>41413</v>
      </c>
      <c r="G339" s="156" t="s">
        <v>55</v>
      </c>
      <c r="H339" s="156" t="s">
        <v>24</v>
      </c>
      <c r="I339" s="157">
        <v>233500.33</v>
      </c>
      <c r="J339" s="160">
        <v>0.5</v>
      </c>
      <c r="K339" s="159">
        <f>MONTH(Tabela1[[#This Row],[Data da Venda]])</f>
        <v>5</v>
      </c>
      <c r="L339" s="159">
        <f>YEAR(Tabela1[[#This Row],[Data da Venda]])</f>
        <v>2013</v>
      </c>
    </row>
    <row r="340" spans="1:12" ht="15" hidden="1" customHeight="1">
      <c r="A340" s="149" t="s">
        <v>415</v>
      </c>
      <c r="B340" s="150" t="s">
        <v>416</v>
      </c>
      <c r="C340" s="155">
        <v>1713</v>
      </c>
      <c r="D340" s="155" t="s">
        <v>328</v>
      </c>
      <c r="E340" s="155" t="s">
        <v>340</v>
      </c>
      <c r="F340" s="156">
        <v>41413</v>
      </c>
      <c r="G340" s="156" t="s">
        <v>149</v>
      </c>
      <c r="H340" s="156" t="s">
        <v>24</v>
      </c>
      <c r="I340" s="157">
        <v>233500.33</v>
      </c>
      <c r="J340" s="160">
        <v>0.5</v>
      </c>
      <c r="K340" s="159">
        <f>MONTH(Tabela1[[#This Row],[Data da Venda]])</f>
        <v>5</v>
      </c>
      <c r="L340" s="159">
        <f>YEAR(Tabela1[[#This Row],[Data da Venda]])</f>
        <v>2013</v>
      </c>
    </row>
    <row r="341" spans="1:12" ht="15" hidden="1" customHeight="1">
      <c r="A341" s="149" t="s">
        <v>415</v>
      </c>
      <c r="B341" s="150" t="s">
        <v>416</v>
      </c>
      <c r="C341" s="155">
        <v>1811</v>
      </c>
      <c r="D341" s="155" t="s">
        <v>328</v>
      </c>
      <c r="E341" s="155" t="s">
        <v>340</v>
      </c>
      <c r="F341" s="156">
        <v>41413</v>
      </c>
      <c r="G341" s="156" t="s">
        <v>148</v>
      </c>
      <c r="H341" s="156" t="s">
        <v>26</v>
      </c>
      <c r="I341" s="157">
        <v>390100.52</v>
      </c>
      <c r="J341" s="160">
        <v>1</v>
      </c>
      <c r="K341" s="159">
        <f>MONTH(Tabela1[[#This Row],[Data da Venda]])</f>
        <v>5</v>
      </c>
      <c r="L341" s="159">
        <f>YEAR(Tabela1[[#This Row],[Data da Venda]])</f>
        <v>2013</v>
      </c>
    </row>
    <row r="342" spans="1:12" ht="15" hidden="1" customHeight="1">
      <c r="A342" s="149" t="s">
        <v>415</v>
      </c>
      <c r="B342" s="150" t="s">
        <v>416</v>
      </c>
      <c r="C342" s="155">
        <v>1908</v>
      </c>
      <c r="D342" s="155" t="s">
        <v>328</v>
      </c>
      <c r="E342" s="155" t="s">
        <v>340</v>
      </c>
      <c r="F342" s="156">
        <v>41413</v>
      </c>
      <c r="G342" s="156" t="s">
        <v>147</v>
      </c>
      <c r="H342" s="150" t="s">
        <v>26</v>
      </c>
      <c r="I342" s="157">
        <v>469320.21</v>
      </c>
      <c r="J342" s="160">
        <v>1</v>
      </c>
      <c r="K342" s="159">
        <f>MONTH(Tabela1[[#This Row],[Data da Venda]])</f>
        <v>5</v>
      </c>
      <c r="L342" s="159">
        <f>YEAR(Tabela1[[#This Row],[Data da Venda]])</f>
        <v>2013</v>
      </c>
    </row>
    <row r="343" spans="1:12" ht="15" hidden="1" customHeight="1">
      <c r="A343" s="149" t="s">
        <v>415</v>
      </c>
      <c r="B343" s="150" t="s">
        <v>416</v>
      </c>
      <c r="C343" s="155">
        <v>1913</v>
      </c>
      <c r="D343" s="155" t="s">
        <v>328</v>
      </c>
      <c r="E343" s="155" t="s">
        <v>340</v>
      </c>
      <c r="F343" s="156">
        <v>41413</v>
      </c>
      <c r="G343" s="156" t="s">
        <v>55</v>
      </c>
      <c r="H343" s="156" t="s">
        <v>24</v>
      </c>
      <c r="I343" s="157">
        <v>466999.99</v>
      </c>
      <c r="J343" s="160">
        <v>1</v>
      </c>
      <c r="K343" s="159">
        <f>MONTH(Tabela1[[#This Row],[Data da Venda]])</f>
        <v>5</v>
      </c>
      <c r="L343" s="159">
        <f>YEAR(Tabela1[[#This Row],[Data da Venda]])</f>
        <v>2013</v>
      </c>
    </row>
    <row r="344" spans="1:12" ht="15" hidden="1" customHeight="1">
      <c r="A344" s="149" t="s">
        <v>415</v>
      </c>
      <c r="B344" s="150" t="s">
        <v>416</v>
      </c>
      <c r="C344" s="155">
        <v>2009</v>
      </c>
      <c r="D344" s="155" t="s">
        <v>328</v>
      </c>
      <c r="E344" s="155" t="s">
        <v>340</v>
      </c>
      <c r="F344" s="156">
        <v>41413</v>
      </c>
      <c r="G344" s="156" t="s">
        <v>313</v>
      </c>
      <c r="H344" s="156" t="s">
        <v>25</v>
      </c>
      <c r="I344" s="157">
        <v>485939.51</v>
      </c>
      <c r="J344" s="160">
        <v>1</v>
      </c>
      <c r="K344" s="159">
        <f>MONTH(Tabela1[[#This Row],[Data da Venda]])</f>
        <v>5</v>
      </c>
      <c r="L344" s="159">
        <f>YEAR(Tabela1[[#This Row],[Data da Venda]])</f>
        <v>2013</v>
      </c>
    </row>
    <row r="345" spans="1:12" ht="15" hidden="1" customHeight="1">
      <c r="A345" s="149" t="s">
        <v>415</v>
      </c>
      <c r="B345" s="150" t="s">
        <v>416</v>
      </c>
      <c r="C345" s="155">
        <v>2105</v>
      </c>
      <c r="D345" s="155" t="s">
        <v>328</v>
      </c>
      <c r="E345" s="155" t="s">
        <v>340</v>
      </c>
      <c r="F345" s="156">
        <v>41413</v>
      </c>
      <c r="G345" s="156" t="s">
        <v>63</v>
      </c>
      <c r="H345" s="156" t="s">
        <v>25</v>
      </c>
      <c r="I345" s="157">
        <v>694927.24</v>
      </c>
      <c r="J345" s="160">
        <v>1</v>
      </c>
      <c r="K345" s="159">
        <f>MONTH(Tabela1[[#This Row],[Data da Venda]])</f>
        <v>5</v>
      </c>
      <c r="L345" s="159">
        <f>YEAR(Tabela1[[#This Row],[Data da Venda]])</f>
        <v>2013</v>
      </c>
    </row>
    <row r="346" spans="1:12" ht="15" hidden="1" customHeight="1">
      <c r="A346" s="149" t="s">
        <v>415</v>
      </c>
      <c r="B346" s="150" t="s">
        <v>416</v>
      </c>
      <c r="C346" s="155">
        <v>2113</v>
      </c>
      <c r="D346" s="155" t="s">
        <v>328</v>
      </c>
      <c r="E346" s="155" t="s">
        <v>340</v>
      </c>
      <c r="F346" s="156">
        <v>41413</v>
      </c>
      <c r="G346" s="156" t="s">
        <v>239</v>
      </c>
      <c r="H346" s="156" t="s">
        <v>27</v>
      </c>
      <c r="I346" s="157">
        <v>526556.75</v>
      </c>
      <c r="J346" s="160">
        <v>1</v>
      </c>
      <c r="K346" s="159">
        <f>MONTH(Tabela1[[#This Row],[Data da Venda]])</f>
        <v>5</v>
      </c>
      <c r="L346" s="159">
        <f>YEAR(Tabela1[[#This Row],[Data da Venda]])</f>
        <v>2013</v>
      </c>
    </row>
    <row r="347" spans="1:12" ht="15" hidden="1" customHeight="1">
      <c r="A347" s="149" t="s">
        <v>415</v>
      </c>
      <c r="B347" s="150" t="s">
        <v>416</v>
      </c>
      <c r="C347" s="155">
        <v>2402</v>
      </c>
      <c r="D347" s="155" t="s">
        <v>328</v>
      </c>
      <c r="E347" s="155" t="s">
        <v>340</v>
      </c>
      <c r="F347" s="156">
        <v>41413</v>
      </c>
      <c r="G347" s="156" t="s">
        <v>49</v>
      </c>
      <c r="H347" s="156" t="s">
        <v>23</v>
      </c>
      <c r="I347" s="157">
        <v>384530.4</v>
      </c>
      <c r="J347" s="158">
        <v>1</v>
      </c>
      <c r="K347" s="159">
        <f>MONTH(Tabela1[[#This Row],[Data da Venda]])</f>
        <v>5</v>
      </c>
      <c r="L347" s="159">
        <f>YEAR(Tabela1[[#This Row],[Data da Venda]])</f>
        <v>2013</v>
      </c>
    </row>
    <row r="348" spans="1:12" ht="15" hidden="1" customHeight="1">
      <c r="A348" s="149" t="s">
        <v>415</v>
      </c>
      <c r="B348" s="150" t="s">
        <v>416</v>
      </c>
      <c r="C348" s="155">
        <v>301</v>
      </c>
      <c r="D348" s="155" t="s">
        <v>328</v>
      </c>
      <c r="E348" s="155" t="s">
        <v>340</v>
      </c>
      <c r="F348" s="156">
        <v>41414</v>
      </c>
      <c r="G348" s="156" t="s">
        <v>49</v>
      </c>
      <c r="H348" s="156" t="s">
        <v>23</v>
      </c>
      <c r="I348" s="157">
        <v>358955.19</v>
      </c>
      <c r="J348" s="158">
        <v>1</v>
      </c>
      <c r="K348" s="159">
        <f>MONTH(Tabela1[[#This Row],[Data da Venda]])</f>
        <v>5</v>
      </c>
      <c r="L348" s="159">
        <f>YEAR(Tabela1[[#This Row],[Data da Venda]])</f>
        <v>2013</v>
      </c>
    </row>
    <row r="349" spans="1:12" ht="15" hidden="1" customHeight="1">
      <c r="A349" s="149" t="s">
        <v>415</v>
      </c>
      <c r="B349" s="150" t="s">
        <v>416</v>
      </c>
      <c r="C349" s="155">
        <v>302</v>
      </c>
      <c r="D349" s="155" t="s">
        <v>328</v>
      </c>
      <c r="E349" s="155" t="s">
        <v>340</v>
      </c>
      <c r="F349" s="156">
        <v>41414</v>
      </c>
      <c r="G349" s="156" t="s">
        <v>49</v>
      </c>
      <c r="H349" s="156" t="s">
        <v>23</v>
      </c>
      <c r="I349" s="157">
        <v>350950.07</v>
      </c>
      <c r="J349" s="158">
        <v>1</v>
      </c>
      <c r="K349" s="159">
        <f>MONTH(Tabela1[[#This Row],[Data da Venda]])</f>
        <v>5</v>
      </c>
      <c r="L349" s="159">
        <f>YEAR(Tabela1[[#This Row],[Data da Venda]])</f>
        <v>2013</v>
      </c>
    </row>
    <row r="350" spans="1:12" ht="15" hidden="1" customHeight="1">
      <c r="A350" s="149" t="s">
        <v>415</v>
      </c>
      <c r="B350" s="150" t="s">
        <v>416</v>
      </c>
      <c r="C350" s="155">
        <v>303</v>
      </c>
      <c r="D350" s="155" t="s">
        <v>328</v>
      </c>
      <c r="E350" s="155" t="s">
        <v>340</v>
      </c>
      <c r="F350" s="156">
        <v>41414</v>
      </c>
      <c r="G350" s="156" t="s">
        <v>49</v>
      </c>
      <c r="H350" s="156" t="s">
        <v>23</v>
      </c>
      <c r="I350" s="157">
        <v>350950.07</v>
      </c>
      <c r="J350" s="158">
        <v>1</v>
      </c>
      <c r="K350" s="159">
        <f>MONTH(Tabela1[[#This Row],[Data da Venda]])</f>
        <v>5</v>
      </c>
      <c r="L350" s="159">
        <f>YEAR(Tabela1[[#This Row],[Data da Venda]])</f>
        <v>2013</v>
      </c>
    </row>
    <row r="351" spans="1:12" ht="15" hidden="1" customHeight="1">
      <c r="A351" s="149" t="s">
        <v>415</v>
      </c>
      <c r="B351" s="150" t="s">
        <v>416</v>
      </c>
      <c r="C351" s="155">
        <v>402</v>
      </c>
      <c r="D351" s="155" t="s">
        <v>329</v>
      </c>
      <c r="E351" s="155" t="s">
        <v>340</v>
      </c>
      <c r="F351" s="156">
        <v>41414</v>
      </c>
      <c r="G351" s="156" t="s">
        <v>465</v>
      </c>
      <c r="H351" s="156" t="s">
        <v>33</v>
      </c>
      <c r="I351" s="157">
        <v>371184.04</v>
      </c>
      <c r="J351" s="160">
        <v>1</v>
      </c>
      <c r="K351" s="159">
        <f>MONTH(Tabela1[[#This Row],[Data da Venda]])</f>
        <v>5</v>
      </c>
      <c r="L351" s="159">
        <f>YEAR(Tabela1[[#This Row],[Data da Venda]])</f>
        <v>2013</v>
      </c>
    </row>
    <row r="352" spans="1:12" ht="15" hidden="1" customHeight="1">
      <c r="A352" s="149" t="s">
        <v>415</v>
      </c>
      <c r="B352" s="150" t="s">
        <v>416</v>
      </c>
      <c r="C352" s="155">
        <v>411</v>
      </c>
      <c r="D352" s="155" t="s">
        <v>328</v>
      </c>
      <c r="E352" s="155" t="s">
        <v>340</v>
      </c>
      <c r="F352" s="156">
        <v>41414</v>
      </c>
      <c r="G352" s="156" t="s">
        <v>194</v>
      </c>
      <c r="H352" s="156" t="s">
        <v>27</v>
      </c>
      <c r="I352" s="157">
        <v>186402.68</v>
      </c>
      <c r="J352" s="160">
        <v>0.5</v>
      </c>
      <c r="K352" s="159">
        <f>MONTH(Tabela1[[#This Row],[Data da Venda]])</f>
        <v>5</v>
      </c>
      <c r="L352" s="159">
        <f>YEAR(Tabela1[[#This Row],[Data da Venda]])</f>
        <v>2013</v>
      </c>
    </row>
    <row r="353" spans="1:12" ht="15" hidden="1" customHeight="1">
      <c r="A353" s="149" t="s">
        <v>415</v>
      </c>
      <c r="B353" s="150" t="s">
        <v>416</v>
      </c>
      <c r="C353" s="155">
        <v>411</v>
      </c>
      <c r="D353" s="155" t="s">
        <v>328</v>
      </c>
      <c r="E353" s="155" t="s">
        <v>340</v>
      </c>
      <c r="F353" s="156">
        <v>41414</v>
      </c>
      <c r="G353" s="156" t="s">
        <v>42</v>
      </c>
      <c r="H353" s="156" t="s">
        <v>27</v>
      </c>
      <c r="I353" s="157">
        <v>186402.68</v>
      </c>
      <c r="J353" s="160">
        <v>0.5</v>
      </c>
      <c r="K353" s="159">
        <f>MONTH(Tabela1[[#This Row],[Data da Venda]])</f>
        <v>5</v>
      </c>
      <c r="L353" s="159">
        <f>YEAR(Tabela1[[#This Row],[Data da Venda]])</f>
        <v>2013</v>
      </c>
    </row>
    <row r="354" spans="1:12" ht="15" hidden="1" customHeight="1">
      <c r="A354" s="149" t="s">
        <v>415</v>
      </c>
      <c r="B354" s="150" t="s">
        <v>416</v>
      </c>
      <c r="C354" s="155">
        <v>1207</v>
      </c>
      <c r="D354" s="155" t="s">
        <v>328</v>
      </c>
      <c r="E354" s="155" t="s">
        <v>340</v>
      </c>
      <c r="F354" s="156">
        <v>41414</v>
      </c>
      <c r="G354" s="156" t="s">
        <v>62</v>
      </c>
      <c r="H354" s="156" t="s">
        <v>25</v>
      </c>
      <c r="I354" s="157">
        <v>367792.39</v>
      </c>
      <c r="J354" s="160">
        <v>1</v>
      </c>
      <c r="K354" s="159">
        <f>MONTH(Tabela1[[#This Row],[Data da Venda]])</f>
        <v>5</v>
      </c>
      <c r="L354" s="159">
        <f>YEAR(Tabela1[[#This Row],[Data da Venda]])</f>
        <v>2013</v>
      </c>
    </row>
    <row r="355" spans="1:12" ht="15" hidden="1" customHeight="1">
      <c r="A355" s="149" t="s">
        <v>415</v>
      </c>
      <c r="B355" s="150" t="s">
        <v>416</v>
      </c>
      <c r="C355" s="155">
        <v>1214</v>
      </c>
      <c r="D355" s="155" t="s">
        <v>328</v>
      </c>
      <c r="E355" s="155" t="s">
        <v>340</v>
      </c>
      <c r="F355" s="156">
        <v>41414</v>
      </c>
      <c r="G355" s="156" t="s">
        <v>121</v>
      </c>
      <c r="H355" s="156" t="s">
        <v>23</v>
      </c>
      <c r="I355" s="157">
        <v>320425</v>
      </c>
      <c r="J355" s="160">
        <v>1</v>
      </c>
      <c r="K355" s="159">
        <f>MONTH(Tabela1[[#This Row],[Data da Venda]])</f>
        <v>5</v>
      </c>
      <c r="L355" s="159">
        <f>YEAR(Tabela1[[#This Row],[Data da Venda]])</f>
        <v>2013</v>
      </c>
    </row>
    <row r="356" spans="1:12" ht="15" hidden="1" customHeight="1">
      <c r="A356" s="149" t="s">
        <v>415</v>
      </c>
      <c r="B356" s="150" t="s">
        <v>416</v>
      </c>
      <c r="C356" s="155">
        <v>1306</v>
      </c>
      <c r="D356" s="155" t="s">
        <v>328</v>
      </c>
      <c r="E356" s="155" t="s">
        <v>340</v>
      </c>
      <c r="F356" s="156">
        <v>41414</v>
      </c>
      <c r="G356" s="156" t="s">
        <v>196</v>
      </c>
      <c r="H356" s="156" t="s">
        <v>24</v>
      </c>
      <c r="I356" s="157">
        <v>382979.77</v>
      </c>
      <c r="J356" s="160">
        <v>1</v>
      </c>
      <c r="K356" s="159">
        <f>MONTH(Tabela1[[#This Row],[Data da Venda]])</f>
        <v>5</v>
      </c>
      <c r="L356" s="159">
        <f>YEAR(Tabela1[[#This Row],[Data da Venda]])</f>
        <v>2013</v>
      </c>
    </row>
    <row r="357" spans="1:12" ht="15" hidden="1" customHeight="1">
      <c r="A357" s="149" t="s">
        <v>208</v>
      </c>
      <c r="B357" s="150" t="s">
        <v>388</v>
      </c>
      <c r="C357" s="155">
        <v>152</v>
      </c>
      <c r="D357" s="155" t="s">
        <v>328</v>
      </c>
      <c r="E357" s="155" t="s">
        <v>339</v>
      </c>
      <c r="F357" s="156">
        <v>41414</v>
      </c>
      <c r="G357" s="156" t="s">
        <v>218</v>
      </c>
      <c r="H357" s="156" t="s">
        <v>26</v>
      </c>
      <c r="I357" s="157">
        <v>138075</v>
      </c>
      <c r="J357" s="160">
        <v>0.5</v>
      </c>
      <c r="K357" s="159">
        <f>MONTH(Tabela1[[#This Row],[Data da Venda]])</f>
        <v>5</v>
      </c>
      <c r="L357" s="159">
        <f>YEAR(Tabela1[[#This Row],[Data da Venda]])</f>
        <v>2013</v>
      </c>
    </row>
    <row r="358" spans="1:12" ht="15" hidden="1" customHeight="1">
      <c r="A358" s="149" t="s">
        <v>208</v>
      </c>
      <c r="B358" s="150" t="s">
        <v>388</v>
      </c>
      <c r="C358" s="155">
        <v>152</v>
      </c>
      <c r="D358" s="155" t="s">
        <v>328</v>
      </c>
      <c r="E358" s="155" t="s">
        <v>339</v>
      </c>
      <c r="F358" s="156">
        <v>41414</v>
      </c>
      <c r="G358" s="156" t="s">
        <v>206</v>
      </c>
      <c r="H358" s="156" t="s">
        <v>25</v>
      </c>
      <c r="I358" s="157">
        <v>138075</v>
      </c>
      <c r="J358" s="160">
        <v>0.5</v>
      </c>
      <c r="K358" s="159">
        <f>MONTH(Tabela1[[#This Row],[Data da Venda]])</f>
        <v>5</v>
      </c>
      <c r="L358" s="159">
        <f>YEAR(Tabela1[[#This Row],[Data da Venda]])</f>
        <v>2013</v>
      </c>
    </row>
    <row r="359" spans="1:12" ht="15" hidden="1" customHeight="1">
      <c r="A359" s="149" t="s">
        <v>182</v>
      </c>
      <c r="B359" s="150" t="s">
        <v>431</v>
      </c>
      <c r="C359" s="155">
        <v>41</v>
      </c>
      <c r="D359" s="155" t="s">
        <v>329</v>
      </c>
      <c r="E359" s="155" t="s">
        <v>339</v>
      </c>
      <c r="F359" s="156">
        <v>41414</v>
      </c>
      <c r="G359" s="156" t="s">
        <v>337</v>
      </c>
      <c r="H359" s="156" t="s">
        <v>33</v>
      </c>
      <c r="I359" s="157">
        <v>210000</v>
      </c>
      <c r="J359" s="158">
        <v>1</v>
      </c>
      <c r="K359" s="159">
        <f>MONTH(Tabela1[[#This Row],[Data da Venda]])</f>
        <v>5</v>
      </c>
      <c r="L359" s="159">
        <f>YEAR(Tabela1[[#This Row],[Data da Venda]])</f>
        <v>2013</v>
      </c>
    </row>
    <row r="360" spans="1:12" ht="15" hidden="1" customHeight="1">
      <c r="A360" s="149" t="s">
        <v>53</v>
      </c>
      <c r="B360" s="150" t="s">
        <v>414</v>
      </c>
      <c r="C360" s="155">
        <v>92</v>
      </c>
      <c r="D360" s="155" t="s">
        <v>328</v>
      </c>
      <c r="E360" s="155" t="s">
        <v>339</v>
      </c>
      <c r="F360" s="156">
        <v>41414</v>
      </c>
      <c r="G360" s="156" t="s">
        <v>77</v>
      </c>
      <c r="H360" s="156" t="s">
        <v>27</v>
      </c>
      <c r="I360" s="157">
        <v>625000</v>
      </c>
      <c r="J360" s="160">
        <v>1</v>
      </c>
      <c r="K360" s="159">
        <f>MONTH(Tabela1[[#This Row],[Data da Venda]])</f>
        <v>5</v>
      </c>
      <c r="L360" s="159">
        <f>YEAR(Tabela1[[#This Row],[Data da Venda]])</f>
        <v>2013</v>
      </c>
    </row>
    <row r="361" spans="1:12" ht="15" hidden="1" customHeight="1">
      <c r="A361" s="149" t="s">
        <v>415</v>
      </c>
      <c r="B361" s="150" t="s">
        <v>416</v>
      </c>
      <c r="C361" s="155">
        <v>816</v>
      </c>
      <c r="D361" s="155" t="s">
        <v>328</v>
      </c>
      <c r="E361" s="155" t="s">
        <v>340</v>
      </c>
      <c r="F361" s="156">
        <v>41415</v>
      </c>
      <c r="G361" s="156" t="s">
        <v>160</v>
      </c>
      <c r="H361" s="156" t="s">
        <v>23</v>
      </c>
      <c r="I361" s="157">
        <v>382125.78</v>
      </c>
      <c r="J361" s="160">
        <v>1</v>
      </c>
      <c r="K361" s="159">
        <f>MONTH(Tabela1[[#This Row],[Data da Venda]])</f>
        <v>5</v>
      </c>
      <c r="L361" s="159">
        <f>YEAR(Tabela1[[#This Row],[Data da Venda]])</f>
        <v>2013</v>
      </c>
    </row>
    <row r="362" spans="1:12" ht="15" hidden="1" customHeight="1">
      <c r="A362" s="149" t="s">
        <v>415</v>
      </c>
      <c r="B362" s="150" t="s">
        <v>416</v>
      </c>
      <c r="C362" s="155">
        <v>1914</v>
      </c>
      <c r="D362" s="155" t="s">
        <v>329</v>
      </c>
      <c r="E362" s="155" t="s">
        <v>340</v>
      </c>
      <c r="F362" s="156">
        <v>41415</v>
      </c>
      <c r="G362" s="156" t="s">
        <v>463</v>
      </c>
      <c r="H362" s="156" t="s">
        <v>33</v>
      </c>
      <c r="I362" s="157">
        <v>375480.16</v>
      </c>
      <c r="J362" s="158">
        <v>1</v>
      </c>
      <c r="K362" s="159">
        <f>MONTH(Tabela1[[#This Row],[Data da Venda]])</f>
        <v>5</v>
      </c>
      <c r="L362" s="159">
        <f>YEAR(Tabela1[[#This Row],[Data da Venda]])</f>
        <v>2013</v>
      </c>
    </row>
    <row r="363" spans="1:12" ht="15" hidden="1" customHeight="1">
      <c r="A363" s="149" t="s">
        <v>415</v>
      </c>
      <c r="B363" s="150" t="s">
        <v>416</v>
      </c>
      <c r="C363" s="155">
        <v>910</v>
      </c>
      <c r="D363" s="155" t="s">
        <v>328</v>
      </c>
      <c r="E363" s="155" t="s">
        <v>340</v>
      </c>
      <c r="F363" s="156">
        <v>41416</v>
      </c>
      <c r="G363" s="155" t="s">
        <v>197</v>
      </c>
      <c r="H363" s="155" t="s">
        <v>79</v>
      </c>
      <c r="I363" s="157">
        <v>383999.77</v>
      </c>
      <c r="J363" s="160">
        <v>1</v>
      </c>
      <c r="K363" s="159">
        <f>MONTH(Tabela1[[#This Row],[Data da Venda]])</f>
        <v>5</v>
      </c>
      <c r="L363" s="159">
        <f>YEAR(Tabela1[[#This Row],[Data da Venda]])</f>
        <v>2013</v>
      </c>
    </row>
    <row r="364" spans="1:12" ht="15" hidden="1" customHeight="1">
      <c r="A364" s="149" t="s">
        <v>415</v>
      </c>
      <c r="B364" s="150" t="s">
        <v>416</v>
      </c>
      <c r="C364" s="155">
        <v>1408</v>
      </c>
      <c r="D364" s="155" t="s">
        <v>328</v>
      </c>
      <c r="E364" s="155" t="s">
        <v>340</v>
      </c>
      <c r="F364" s="156">
        <v>41416</v>
      </c>
      <c r="G364" s="156" t="s">
        <v>38</v>
      </c>
      <c r="H364" s="156" t="s">
        <v>23</v>
      </c>
      <c r="I364" s="157">
        <v>477677.91</v>
      </c>
      <c r="J364" s="158">
        <v>1</v>
      </c>
      <c r="K364" s="159">
        <f>MONTH(Tabela1[[#This Row],[Data da Venda]])</f>
        <v>5</v>
      </c>
      <c r="L364" s="159">
        <f>YEAR(Tabela1[[#This Row],[Data da Venda]])</f>
        <v>2013</v>
      </c>
    </row>
    <row r="365" spans="1:12" ht="15" hidden="1" customHeight="1">
      <c r="A365" s="149" t="s">
        <v>415</v>
      </c>
      <c r="B365" s="150" t="s">
        <v>416</v>
      </c>
      <c r="C365" s="155">
        <v>1707</v>
      </c>
      <c r="D365" s="155" t="s">
        <v>328</v>
      </c>
      <c r="E365" s="155" t="s">
        <v>340</v>
      </c>
      <c r="F365" s="156">
        <v>41416</v>
      </c>
      <c r="G365" s="156" t="s">
        <v>310</v>
      </c>
      <c r="H365" s="156" t="s">
        <v>61</v>
      </c>
      <c r="I365" s="157">
        <v>374000</v>
      </c>
      <c r="J365" s="160">
        <v>1</v>
      </c>
      <c r="K365" s="159">
        <f>MONTH(Tabela1[[#This Row],[Data da Venda]])</f>
        <v>5</v>
      </c>
      <c r="L365" s="159">
        <f>YEAR(Tabela1[[#This Row],[Data da Venda]])</f>
        <v>2013</v>
      </c>
    </row>
    <row r="366" spans="1:12" ht="15" hidden="1" customHeight="1">
      <c r="A366" s="149" t="s">
        <v>415</v>
      </c>
      <c r="B366" s="150" t="s">
        <v>416</v>
      </c>
      <c r="C366" s="155">
        <v>1708</v>
      </c>
      <c r="D366" s="155" t="s">
        <v>328</v>
      </c>
      <c r="E366" s="155" t="s">
        <v>340</v>
      </c>
      <c r="F366" s="156">
        <v>41416</v>
      </c>
      <c r="G366" s="156" t="s">
        <v>310</v>
      </c>
      <c r="H366" s="156" t="s">
        <v>61</v>
      </c>
      <c r="I366" s="157">
        <v>473000</v>
      </c>
      <c r="J366" s="160">
        <v>1</v>
      </c>
      <c r="K366" s="159">
        <f>MONTH(Tabela1[[#This Row],[Data da Venda]])</f>
        <v>5</v>
      </c>
      <c r="L366" s="159">
        <f>YEAR(Tabela1[[#This Row],[Data da Venda]])</f>
        <v>2013</v>
      </c>
    </row>
    <row r="367" spans="1:12" ht="15" hidden="1" customHeight="1">
      <c r="A367" s="149" t="s">
        <v>415</v>
      </c>
      <c r="B367" s="150" t="s">
        <v>416</v>
      </c>
      <c r="C367" s="155">
        <v>311</v>
      </c>
      <c r="D367" s="155" t="s">
        <v>328</v>
      </c>
      <c r="E367" s="155" t="s">
        <v>340</v>
      </c>
      <c r="F367" s="156">
        <v>41417</v>
      </c>
      <c r="G367" s="156" t="s">
        <v>193</v>
      </c>
      <c r="H367" s="156" t="s">
        <v>61</v>
      </c>
      <c r="I367" s="157">
        <v>145000</v>
      </c>
      <c r="J367" s="160">
        <v>0.5</v>
      </c>
      <c r="K367" s="159">
        <f>MONTH(Tabela1[[#This Row],[Data da Venda]])</f>
        <v>5</v>
      </c>
      <c r="L367" s="159">
        <f>YEAR(Tabela1[[#This Row],[Data da Venda]])</f>
        <v>2013</v>
      </c>
    </row>
    <row r="368" spans="1:12" ht="15" hidden="1" customHeight="1">
      <c r="A368" s="149" t="s">
        <v>415</v>
      </c>
      <c r="B368" s="150" t="s">
        <v>416</v>
      </c>
      <c r="C368" s="155">
        <v>311</v>
      </c>
      <c r="D368" s="155" t="s">
        <v>328</v>
      </c>
      <c r="E368" s="155" t="s">
        <v>340</v>
      </c>
      <c r="F368" s="156">
        <v>41417</v>
      </c>
      <c r="G368" s="156" t="s">
        <v>153</v>
      </c>
      <c r="H368" s="156" t="s">
        <v>61</v>
      </c>
      <c r="I368" s="157">
        <v>145000</v>
      </c>
      <c r="J368" s="160">
        <v>0.5</v>
      </c>
      <c r="K368" s="159">
        <f>MONTH(Tabela1[[#This Row],[Data da Venda]])</f>
        <v>5</v>
      </c>
      <c r="L368" s="159">
        <f>YEAR(Tabela1[[#This Row],[Data da Venda]])</f>
        <v>2013</v>
      </c>
    </row>
    <row r="369" spans="1:12" ht="15" hidden="1" customHeight="1">
      <c r="A369" s="149" t="s">
        <v>415</v>
      </c>
      <c r="B369" s="150" t="s">
        <v>416</v>
      </c>
      <c r="C369" s="155">
        <v>912</v>
      </c>
      <c r="D369" s="155" t="s">
        <v>328</v>
      </c>
      <c r="E369" s="155" t="s">
        <v>340</v>
      </c>
      <c r="F369" s="156">
        <v>41417</v>
      </c>
      <c r="G369" s="156" t="s">
        <v>62</v>
      </c>
      <c r="H369" s="156" t="s">
        <v>25</v>
      </c>
      <c r="I369" s="157">
        <v>332283.03999999998</v>
      </c>
      <c r="J369" s="160">
        <v>0.5</v>
      </c>
      <c r="K369" s="159">
        <f>MONTH(Tabela1[[#This Row],[Data da Venda]])</f>
        <v>5</v>
      </c>
      <c r="L369" s="159">
        <f>YEAR(Tabela1[[#This Row],[Data da Venda]])</f>
        <v>2013</v>
      </c>
    </row>
    <row r="370" spans="1:12" ht="15" hidden="1" customHeight="1">
      <c r="A370" s="149" t="s">
        <v>415</v>
      </c>
      <c r="B370" s="150" t="s">
        <v>416</v>
      </c>
      <c r="C370" s="155">
        <v>912</v>
      </c>
      <c r="D370" s="155" t="s">
        <v>328</v>
      </c>
      <c r="E370" s="155" t="s">
        <v>340</v>
      </c>
      <c r="F370" s="156">
        <v>41417</v>
      </c>
      <c r="G370" s="156" t="s">
        <v>48</v>
      </c>
      <c r="H370" s="156" t="s">
        <v>25</v>
      </c>
      <c r="I370" s="157">
        <v>332283.03999999998</v>
      </c>
      <c r="J370" s="160">
        <v>0.5</v>
      </c>
      <c r="K370" s="159">
        <f>MONTH(Tabela1[[#This Row],[Data da Venda]])</f>
        <v>5</v>
      </c>
      <c r="L370" s="159">
        <f>YEAR(Tabela1[[#This Row],[Data da Venda]])</f>
        <v>2013</v>
      </c>
    </row>
    <row r="371" spans="1:12" ht="15" hidden="1" customHeight="1">
      <c r="A371" s="149" t="s">
        <v>415</v>
      </c>
      <c r="B371" s="150" t="s">
        <v>416</v>
      </c>
      <c r="C371" s="155">
        <v>1006</v>
      </c>
      <c r="D371" s="155" t="s">
        <v>328</v>
      </c>
      <c r="E371" s="155" t="s">
        <v>340</v>
      </c>
      <c r="F371" s="156">
        <v>41417</v>
      </c>
      <c r="G371" s="156" t="s">
        <v>48</v>
      </c>
      <c r="H371" s="156" t="s">
        <v>25</v>
      </c>
      <c r="I371" s="157">
        <v>388035.08</v>
      </c>
      <c r="J371" s="160">
        <v>1</v>
      </c>
      <c r="K371" s="159">
        <f>MONTH(Tabela1[[#This Row],[Data da Venda]])</f>
        <v>5</v>
      </c>
      <c r="L371" s="159">
        <f>YEAR(Tabela1[[#This Row],[Data da Venda]])</f>
        <v>2013</v>
      </c>
    </row>
    <row r="372" spans="1:12" ht="15" hidden="1" customHeight="1">
      <c r="A372" s="149" t="s">
        <v>191</v>
      </c>
      <c r="B372" s="150" t="s">
        <v>385</v>
      </c>
      <c r="C372" s="155">
        <v>31</v>
      </c>
      <c r="D372" s="155" t="s">
        <v>328</v>
      </c>
      <c r="E372" s="155" t="s">
        <v>339</v>
      </c>
      <c r="F372" s="156">
        <v>41417</v>
      </c>
      <c r="G372" s="156" t="s">
        <v>17</v>
      </c>
      <c r="H372" s="156" t="s">
        <v>25</v>
      </c>
      <c r="I372" s="157">
        <v>223500</v>
      </c>
      <c r="J372" s="160">
        <v>1</v>
      </c>
      <c r="K372" s="159">
        <f>MONTH(Tabela1[[#This Row],[Data da Venda]])</f>
        <v>5</v>
      </c>
      <c r="L372" s="159">
        <f>YEAR(Tabela1[[#This Row],[Data da Venda]])</f>
        <v>2013</v>
      </c>
    </row>
    <row r="373" spans="1:12" ht="15" hidden="1" customHeight="1">
      <c r="A373" s="149" t="s">
        <v>191</v>
      </c>
      <c r="B373" s="150" t="s">
        <v>385</v>
      </c>
      <c r="C373" s="155">
        <v>44</v>
      </c>
      <c r="D373" s="155" t="s">
        <v>328</v>
      </c>
      <c r="E373" s="155" t="s">
        <v>339</v>
      </c>
      <c r="F373" s="156">
        <v>41417</v>
      </c>
      <c r="G373" s="156" t="s">
        <v>196</v>
      </c>
      <c r="H373" s="156" t="s">
        <v>24</v>
      </c>
      <c r="I373" s="157">
        <v>95500</v>
      </c>
      <c r="J373" s="160">
        <v>0.5</v>
      </c>
      <c r="K373" s="159">
        <f>MONTH(Tabela1[[#This Row],[Data da Venda]])</f>
        <v>5</v>
      </c>
      <c r="L373" s="159">
        <f>YEAR(Tabela1[[#This Row],[Data da Venda]])</f>
        <v>2013</v>
      </c>
    </row>
    <row r="374" spans="1:12" ht="15" hidden="1" customHeight="1">
      <c r="A374" s="149" t="s">
        <v>191</v>
      </c>
      <c r="B374" s="150" t="s">
        <v>385</v>
      </c>
      <c r="C374" s="155">
        <v>44</v>
      </c>
      <c r="D374" s="155" t="s">
        <v>328</v>
      </c>
      <c r="E374" s="155" t="s">
        <v>339</v>
      </c>
      <c r="F374" s="156">
        <v>41417</v>
      </c>
      <c r="G374" s="156" t="s">
        <v>200</v>
      </c>
      <c r="H374" s="156" t="s">
        <v>24</v>
      </c>
      <c r="I374" s="157">
        <v>95500</v>
      </c>
      <c r="J374" s="160">
        <v>0.5</v>
      </c>
      <c r="K374" s="159">
        <f>MONTH(Tabela1[[#This Row],[Data da Venda]])</f>
        <v>5</v>
      </c>
      <c r="L374" s="159">
        <f>YEAR(Tabela1[[#This Row],[Data da Venda]])</f>
        <v>2013</v>
      </c>
    </row>
    <row r="375" spans="1:12" ht="15" hidden="1" customHeight="1">
      <c r="A375" s="149" t="s">
        <v>191</v>
      </c>
      <c r="B375" s="150" t="s">
        <v>392</v>
      </c>
      <c r="C375" s="155">
        <v>111</v>
      </c>
      <c r="D375" s="155" t="s">
        <v>329</v>
      </c>
      <c r="E375" s="155" t="s">
        <v>339</v>
      </c>
      <c r="F375" s="156">
        <v>41417</v>
      </c>
      <c r="G375" s="156" t="s">
        <v>465</v>
      </c>
      <c r="H375" s="156" t="s">
        <v>33</v>
      </c>
      <c r="I375" s="157">
        <v>231300</v>
      </c>
      <c r="J375" s="160">
        <v>1</v>
      </c>
      <c r="K375" s="159">
        <f>MONTH(Tabela1[[#This Row],[Data da Venda]])</f>
        <v>5</v>
      </c>
      <c r="L375" s="159">
        <f>YEAR(Tabela1[[#This Row],[Data da Venda]])</f>
        <v>2013</v>
      </c>
    </row>
    <row r="376" spans="1:12" ht="15" hidden="1" customHeight="1">
      <c r="A376" s="149" t="s">
        <v>415</v>
      </c>
      <c r="B376" s="150" t="s">
        <v>416</v>
      </c>
      <c r="C376" s="155">
        <v>307</v>
      </c>
      <c r="D376" s="155" t="s">
        <v>329</v>
      </c>
      <c r="E376" s="155" t="s">
        <v>340</v>
      </c>
      <c r="F376" s="156">
        <v>41418</v>
      </c>
      <c r="G376" s="156" t="s">
        <v>463</v>
      </c>
      <c r="H376" s="156" t="s">
        <v>33</v>
      </c>
      <c r="I376" s="157">
        <v>331300</v>
      </c>
      <c r="J376" s="158">
        <v>1</v>
      </c>
      <c r="K376" s="159">
        <f>MONTH(Tabela1[[#This Row],[Data da Venda]])</f>
        <v>5</v>
      </c>
      <c r="L376" s="159">
        <f>YEAR(Tabela1[[#This Row],[Data da Venda]])</f>
        <v>2013</v>
      </c>
    </row>
    <row r="377" spans="1:12" ht="15" hidden="1" customHeight="1">
      <c r="A377" s="149" t="s">
        <v>432</v>
      </c>
      <c r="B377" s="150" t="s">
        <v>396</v>
      </c>
      <c r="C377" s="155">
        <v>36</v>
      </c>
      <c r="D377" s="155" t="s">
        <v>329</v>
      </c>
      <c r="E377" s="155" t="s">
        <v>339</v>
      </c>
      <c r="F377" s="156">
        <v>41418</v>
      </c>
      <c r="G377" s="156" t="s">
        <v>463</v>
      </c>
      <c r="H377" s="156" t="s">
        <v>33</v>
      </c>
      <c r="I377" s="157">
        <v>185000</v>
      </c>
      <c r="J377" s="158">
        <v>1</v>
      </c>
      <c r="K377" s="159">
        <f>MONTH(Tabela1[[#This Row],[Data da Venda]])</f>
        <v>5</v>
      </c>
      <c r="L377" s="159">
        <f>YEAR(Tabela1[[#This Row],[Data da Venda]])</f>
        <v>2013</v>
      </c>
    </row>
    <row r="378" spans="1:12" ht="15" hidden="1" customHeight="1">
      <c r="A378" s="149" t="s">
        <v>415</v>
      </c>
      <c r="B378" s="150" t="s">
        <v>416</v>
      </c>
      <c r="C378" s="155">
        <v>1714</v>
      </c>
      <c r="D378" s="155" t="s">
        <v>328</v>
      </c>
      <c r="E378" s="155" t="s">
        <v>340</v>
      </c>
      <c r="F378" s="156">
        <v>41418</v>
      </c>
      <c r="G378" s="156" t="s">
        <v>75</v>
      </c>
      <c r="H378" s="156" t="s">
        <v>27</v>
      </c>
      <c r="I378" s="157">
        <v>199926.68</v>
      </c>
      <c r="J378" s="160">
        <v>0.5</v>
      </c>
      <c r="K378" s="159">
        <f>MONTH(Tabela1[[#This Row],[Data da Venda]])</f>
        <v>5</v>
      </c>
      <c r="L378" s="159">
        <f>YEAR(Tabela1[[#This Row],[Data da Venda]])</f>
        <v>2013</v>
      </c>
    </row>
    <row r="379" spans="1:12" ht="15" hidden="1" customHeight="1">
      <c r="A379" s="149" t="s">
        <v>415</v>
      </c>
      <c r="B379" s="150" t="s">
        <v>416</v>
      </c>
      <c r="C379" s="155">
        <v>1714</v>
      </c>
      <c r="D379" s="155" t="s">
        <v>328</v>
      </c>
      <c r="E379" s="155" t="s">
        <v>340</v>
      </c>
      <c r="F379" s="156">
        <v>41418</v>
      </c>
      <c r="G379" s="156" t="s">
        <v>155</v>
      </c>
      <c r="H379" s="156" t="s">
        <v>27</v>
      </c>
      <c r="I379" s="157">
        <v>199926.68</v>
      </c>
      <c r="J379" s="160">
        <v>0.5</v>
      </c>
      <c r="K379" s="159">
        <f>MONTH(Tabela1[[#This Row],[Data da Venda]])</f>
        <v>5</v>
      </c>
      <c r="L379" s="159">
        <f>YEAR(Tabela1[[#This Row],[Data da Venda]])</f>
        <v>2013</v>
      </c>
    </row>
    <row r="380" spans="1:12" ht="15" hidden="1" customHeight="1">
      <c r="A380" s="149" t="s">
        <v>415</v>
      </c>
      <c r="B380" s="150" t="s">
        <v>416</v>
      </c>
      <c r="C380" s="155">
        <v>911</v>
      </c>
      <c r="D380" s="155" t="s">
        <v>329</v>
      </c>
      <c r="E380" s="155" t="s">
        <v>340</v>
      </c>
      <c r="F380" s="156">
        <v>41420</v>
      </c>
      <c r="G380" s="156" t="s">
        <v>463</v>
      </c>
      <c r="H380" s="156" t="s">
        <v>33</v>
      </c>
      <c r="I380" s="157">
        <v>382164</v>
      </c>
      <c r="J380" s="158">
        <v>1</v>
      </c>
      <c r="K380" s="159">
        <f>MONTH(Tabela1[[#This Row],[Data da Venda]])</f>
        <v>5</v>
      </c>
      <c r="L380" s="159">
        <f>YEAR(Tabela1[[#This Row],[Data da Venda]])</f>
        <v>2013</v>
      </c>
    </row>
    <row r="381" spans="1:12" ht="15" hidden="1" customHeight="1">
      <c r="A381" s="149" t="s">
        <v>415</v>
      </c>
      <c r="B381" s="150" t="s">
        <v>416</v>
      </c>
      <c r="C381" s="155">
        <v>1507</v>
      </c>
      <c r="D381" s="155" t="s">
        <v>328</v>
      </c>
      <c r="E381" s="155" t="s">
        <v>340</v>
      </c>
      <c r="F381" s="156">
        <v>41420</v>
      </c>
      <c r="G381" s="156" t="s">
        <v>104</v>
      </c>
      <c r="H381" s="156" t="s">
        <v>26</v>
      </c>
      <c r="I381" s="157">
        <v>381250</v>
      </c>
      <c r="J381" s="160">
        <v>1</v>
      </c>
      <c r="K381" s="159">
        <f>MONTH(Tabela1[[#This Row],[Data da Venda]])</f>
        <v>5</v>
      </c>
      <c r="L381" s="159">
        <f>YEAR(Tabela1[[#This Row],[Data da Venda]])</f>
        <v>2013</v>
      </c>
    </row>
    <row r="382" spans="1:12" ht="15" hidden="1" customHeight="1">
      <c r="A382" s="149" t="s">
        <v>415</v>
      </c>
      <c r="B382" s="150" t="s">
        <v>416</v>
      </c>
      <c r="C382" s="155">
        <v>1611</v>
      </c>
      <c r="D382" s="155" t="s">
        <v>328</v>
      </c>
      <c r="E382" s="155" t="s">
        <v>340</v>
      </c>
      <c r="F382" s="156">
        <v>41420</v>
      </c>
      <c r="G382" s="156" t="s">
        <v>171</v>
      </c>
      <c r="H382" s="155" t="s">
        <v>26</v>
      </c>
      <c r="I382" s="157">
        <v>180500</v>
      </c>
      <c r="J382" s="160">
        <v>0.5</v>
      </c>
      <c r="K382" s="159">
        <f>MONTH(Tabela1[[#This Row],[Data da Venda]])</f>
        <v>5</v>
      </c>
      <c r="L382" s="159">
        <f>YEAR(Tabela1[[#This Row],[Data da Venda]])</f>
        <v>2013</v>
      </c>
    </row>
    <row r="383" spans="1:12" ht="15" hidden="1" customHeight="1">
      <c r="A383" s="149" t="s">
        <v>415</v>
      </c>
      <c r="B383" s="150" t="s">
        <v>416</v>
      </c>
      <c r="C383" s="155">
        <v>1611</v>
      </c>
      <c r="D383" s="155" t="s">
        <v>328</v>
      </c>
      <c r="E383" s="155" t="s">
        <v>340</v>
      </c>
      <c r="F383" s="156">
        <v>41420</v>
      </c>
      <c r="G383" s="156" t="s">
        <v>67</v>
      </c>
      <c r="H383" s="156" t="s">
        <v>26</v>
      </c>
      <c r="I383" s="157">
        <v>180500</v>
      </c>
      <c r="J383" s="160">
        <v>0.5</v>
      </c>
      <c r="K383" s="159">
        <f>MONTH(Tabela1[[#This Row],[Data da Venda]])</f>
        <v>5</v>
      </c>
      <c r="L383" s="159">
        <f>YEAR(Tabela1[[#This Row],[Data da Venda]])</f>
        <v>2013</v>
      </c>
    </row>
    <row r="384" spans="1:12" ht="15" hidden="1" customHeight="1">
      <c r="A384" s="149" t="s">
        <v>415</v>
      </c>
      <c r="B384" s="150" t="s">
        <v>416</v>
      </c>
      <c r="C384" s="155">
        <v>2010</v>
      </c>
      <c r="D384" s="155" t="s">
        <v>328</v>
      </c>
      <c r="E384" s="155" t="s">
        <v>340</v>
      </c>
      <c r="F384" s="156">
        <v>41420</v>
      </c>
      <c r="G384" s="156" t="s">
        <v>168</v>
      </c>
      <c r="H384" s="156" t="s">
        <v>26</v>
      </c>
      <c r="I384" s="157">
        <v>199987.05</v>
      </c>
      <c r="J384" s="160">
        <v>0.5</v>
      </c>
      <c r="K384" s="159">
        <f>MONTH(Tabela1[[#This Row],[Data da Venda]])</f>
        <v>5</v>
      </c>
      <c r="L384" s="159">
        <f>YEAR(Tabela1[[#This Row],[Data da Venda]])</f>
        <v>2013</v>
      </c>
    </row>
    <row r="385" spans="1:12" ht="15" hidden="1" customHeight="1">
      <c r="A385" s="149" t="s">
        <v>415</v>
      </c>
      <c r="B385" s="150" t="s">
        <v>416</v>
      </c>
      <c r="C385" s="155">
        <v>2010</v>
      </c>
      <c r="D385" s="155" t="s">
        <v>328</v>
      </c>
      <c r="E385" s="155" t="s">
        <v>340</v>
      </c>
      <c r="F385" s="156">
        <v>41420</v>
      </c>
      <c r="G385" s="156" t="s">
        <v>148</v>
      </c>
      <c r="H385" s="156" t="s">
        <v>26</v>
      </c>
      <c r="I385" s="157">
        <v>199987.05</v>
      </c>
      <c r="J385" s="160">
        <v>0.5</v>
      </c>
      <c r="K385" s="159">
        <f>MONTH(Tabela1[[#This Row],[Data da Venda]])</f>
        <v>5</v>
      </c>
      <c r="L385" s="159">
        <f>YEAR(Tabela1[[#This Row],[Data da Venda]])</f>
        <v>2013</v>
      </c>
    </row>
    <row r="386" spans="1:12" ht="15" hidden="1" customHeight="1">
      <c r="A386" s="149" t="s">
        <v>415</v>
      </c>
      <c r="B386" s="150" t="s">
        <v>416</v>
      </c>
      <c r="C386" s="155">
        <v>2011</v>
      </c>
      <c r="D386" s="155" t="s">
        <v>328</v>
      </c>
      <c r="E386" s="155" t="s">
        <v>340</v>
      </c>
      <c r="F386" s="156">
        <v>41420</v>
      </c>
      <c r="G386" s="156" t="s">
        <v>170</v>
      </c>
      <c r="H386" s="156" t="s">
        <v>26</v>
      </c>
      <c r="I386" s="157">
        <v>199987.05</v>
      </c>
      <c r="J386" s="160">
        <v>0.5</v>
      </c>
      <c r="K386" s="159">
        <f>MONTH(Tabela1[[#This Row],[Data da Venda]])</f>
        <v>5</v>
      </c>
      <c r="L386" s="159">
        <f>YEAR(Tabela1[[#This Row],[Data da Venda]])</f>
        <v>2013</v>
      </c>
    </row>
    <row r="387" spans="1:12" ht="15" hidden="1" customHeight="1">
      <c r="A387" s="149" t="s">
        <v>415</v>
      </c>
      <c r="B387" s="150" t="s">
        <v>416</v>
      </c>
      <c r="C387" s="155">
        <v>2011</v>
      </c>
      <c r="D387" s="155" t="s">
        <v>328</v>
      </c>
      <c r="E387" s="155" t="s">
        <v>340</v>
      </c>
      <c r="F387" s="156">
        <v>41420</v>
      </c>
      <c r="G387" s="156" t="s">
        <v>169</v>
      </c>
      <c r="H387" s="156" t="s">
        <v>26</v>
      </c>
      <c r="I387" s="157">
        <v>199987.05</v>
      </c>
      <c r="J387" s="160">
        <v>0.5</v>
      </c>
      <c r="K387" s="159">
        <f>MONTH(Tabela1[[#This Row],[Data da Venda]])</f>
        <v>5</v>
      </c>
      <c r="L387" s="159">
        <f>YEAR(Tabela1[[#This Row],[Data da Venda]])</f>
        <v>2013</v>
      </c>
    </row>
    <row r="388" spans="1:12" ht="15" hidden="1" customHeight="1">
      <c r="A388" s="149" t="s">
        <v>182</v>
      </c>
      <c r="B388" s="150" t="s">
        <v>404</v>
      </c>
      <c r="C388" s="155">
        <v>21</v>
      </c>
      <c r="D388" s="155" t="s">
        <v>329</v>
      </c>
      <c r="E388" s="155" t="s">
        <v>339</v>
      </c>
      <c r="F388" s="156">
        <v>41421</v>
      </c>
      <c r="G388" s="156" t="s">
        <v>337</v>
      </c>
      <c r="H388" s="156" t="s">
        <v>33</v>
      </c>
      <c r="I388" s="157">
        <v>175000</v>
      </c>
      <c r="J388" s="158">
        <v>1</v>
      </c>
      <c r="K388" s="159">
        <f>MONTH(Tabela1[[#This Row],[Data da Venda]])</f>
        <v>5</v>
      </c>
      <c r="L388" s="159">
        <f>YEAR(Tabela1[[#This Row],[Data da Venda]])</f>
        <v>2013</v>
      </c>
    </row>
    <row r="389" spans="1:12" ht="15" hidden="1" customHeight="1">
      <c r="A389" s="149" t="s">
        <v>415</v>
      </c>
      <c r="B389" s="150" t="s">
        <v>416</v>
      </c>
      <c r="C389" s="155">
        <v>1901</v>
      </c>
      <c r="D389" s="155" t="s">
        <v>328</v>
      </c>
      <c r="E389" s="155" t="s">
        <v>340</v>
      </c>
      <c r="F389" s="156">
        <v>41421</v>
      </c>
      <c r="G389" s="156" t="s">
        <v>206</v>
      </c>
      <c r="H389" s="156" t="s">
        <v>25</v>
      </c>
      <c r="I389" s="157">
        <v>155096</v>
      </c>
      <c r="J389" s="160">
        <v>0.5</v>
      </c>
      <c r="K389" s="159">
        <f>MONTH(Tabela1[[#This Row],[Data da Venda]])</f>
        <v>5</v>
      </c>
      <c r="L389" s="159">
        <f>YEAR(Tabela1[[#This Row],[Data da Venda]])</f>
        <v>2013</v>
      </c>
    </row>
    <row r="390" spans="1:12" ht="15" hidden="1" customHeight="1">
      <c r="A390" s="149" t="s">
        <v>415</v>
      </c>
      <c r="B390" s="150" t="s">
        <v>416</v>
      </c>
      <c r="C390" s="155">
        <v>504</v>
      </c>
      <c r="D390" s="155" t="s">
        <v>328</v>
      </c>
      <c r="E390" s="155" t="s">
        <v>340</v>
      </c>
      <c r="F390" s="156">
        <v>41422</v>
      </c>
      <c r="G390" s="156" t="s">
        <v>309</v>
      </c>
      <c r="H390" s="156" t="s">
        <v>26</v>
      </c>
      <c r="I390" s="157">
        <v>477000</v>
      </c>
      <c r="J390" s="160">
        <v>1</v>
      </c>
      <c r="K390" s="159">
        <f>MONTH(Tabela1[[#This Row],[Data da Venda]])</f>
        <v>5</v>
      </c>
      <c r="L390" s="159">
        <f>YEAR(Tabela1[[#This Row],[Data da Venda]])</f>
        <v>2013</v>
      </c>
    </row>
    <row r="391" spans="1:12" ht="15" hidden="1" customHeight="1">
      <c r="A391" s="149" t="s">
        <v>415</v>
      </c>
      <c r="B391" s="150" t="s">
        <v>416</v>
      </c>
      <c r="C391" s="155">
        <v>901</v>
      </c>
      <c r="D391" s="155" t="s">
        <v>329</v>
      </c>
      <c r="E391" s="155" t="s">
        <v>340</v>
      </c>
      <c r="F391" s="156">
        <v>41422</v>
      </c>
      <c r="G391" s="156" t="s">
        <v>337</v>
      </c>
      <c r="H391" s="156" t="s">
        <v>33</v>
      </c>
      <c r="I391" s="157">
        <v>330000</v>
      </c>
      <c r="J391" s="158">
        <v>1</v>
      </c>
      <c r="K391" s="159">
        <f>MONTH(Tabela1[[#This Row],[Data da Venda]])</f>
        <v>5</v>
      </c>
      <c r="L391" s="159">
        <f>YEAR(Tabela1[[#This Row],[Data da Venda]])</f>
        <v>2013</v>
      </c>
    </row>
    <row r="392" spans="1:12" ht="15" hidden="1" customHeight="1">
      <c r="A392" s="149" t="s">
        <v>415</v>
      </c>
      <c r="B392" s="150" t="s">
        <v>416</v>
      </c>
      <c r="C392" s="155">
        <v>1212</v>
      </c>
      <c r="D392" s="155" t="s">
        <v>328</v>
      </c>
      <c r="E392" s="155" t="s">
        <v>340</v>
      </c>
      <c r="F392" s="156">
        <v>41423</v>
      </c>
      <c r="G392" s="156" t="s">
        <v>140</v>
      </c>
      <c r="H392" s="156" t="s">
        <v>79</v>
      </c>
      <c r="I392" s="157">
        <v>530980</v>
      </c>
      <c r="J392" s="160">
        <v>1</v>
      </c>
      <c r="K392" s="159">
        <f>MONTH(Tabela1[[#This Row],[Data da Venda]])</f>
        <v>5</v>
      </c>
      <c r="L392" s="159">
        <f>YEAR(Tabela1[[#This Row],[Data da Venda]])</f>
        <v>2013</v>
      </c>
    </row>
    <row r="393" spans="1:12" ht="15" hidden="1" customHeight="1">
      <c r="A393" s="149" t="s">
        <v>415</v>
      </c>
      <c r="B393" s="150" t="s">
        <v>416</v>
      </c>
      <c r="C393" s="155">
        <v>1415</v>
      </c>
      <c r="D393" s="155" t="s">
        <v>329</v>
      </c>
      <c r="E393" s="155" t="s">
        <v>340</v>
      </c>
      <c r="F393" s="156">
        <v>41423</v>
      </c>
      <c r="G393" s="156" t="s">
        <v>463</v>
      </c>
      <c r="H393" s="156" t="s">
        <v>33</v>
      </c>
      <c r="I393" s="157">
        <v>394756.6</v>
      </c>
      <c r="J393" s="158">
        <v>1</v>
      </c>
      <c r="K393" s="159">
        <f>MONTH(Tabela1[[#This Row],[Data da Venda]])</f>
        <v>5</v>
      </c>
      <c r="L393" s="159">
        <f>YEAR(Tabela1[[#This Row],[Data da Venda]])</f>
        <v>2013</v>
      </c>
    </row>
    <row r="394" spans="1:12" ht="15" hidden="1" customHeight="1">
      <c r="A394" s="149" t="s">
        <v>415</v>
      </c>
      <c r="B394" s="150" t="s">
        <v>416</v>
      </c>
      <c r="C394" s="155">
        <v>2204</v>
      </c>
      <c r="D394" s="155" t="s">
        <v>328</v>
      </c>
      <c r="E394" s="155" t="s">
        <v>340</v>
      </c>
      <c r="F394" s="156">
        <v>41423</v>
      </c>
      <c r="G394" s="156" t="s">
        <v>150</v>
      </c>
      <c r="H394" s="156" t="s">
        <v>61</v>
      </c>
      <c r="I394" s="157">
        <v>522966.14</v>
      </c>
      <c r="J394" s="160">
        <v>1</v>
      </c>
      <c r="K394" s="159">
        <f>MONTH(Tabela1[[#This Row],[Data da Venda]])</f>
        <v>5</v>
      </c>
      <c r="L394" s="159">
        <f>YEAR(Tabela1[[#This Row],[Data da Venda]])</f>
        <v>2013</v>
      </c>
    </row>
    <row r="395" spans="1:12" ht="15" hidden="1" customHeight="1">
      <c r="A395" s="149" t="s">
        <v>415</v>
      </c>
      <c r="B395" s="150" t="s">
        <v>416</v>
      </c>
      <c r="C395" s="155">
        <v>2210</v>
      </c>
      <c r="D395" s="155" t="s">
        <v>328</v>
      </c>
      <c r="E395" s="155" t="s">
        <v>340</v>
      </c>
      <c r="F395" s="156">
        <v>41423</v>
      </c>
      <c r="G395" s="156" t="s">
        <v>308</v>
      </c>
      <c r="H395" s="156" t="s">
        <v>26</v>
      </c>
      <c r="I395" s="157">
        <v>392429.48</v>
      </c>
      <c r="J395" s="158">
        <v>1</v>
      </c>
      <c r="K395" s="159">
        <f>MONTH(Tabela1[[#This Row],[Data da Venda]])</f>
        <v>5</v>
      </c>
      <c r="L395" s="159">
        <f>YEAR(Tabela1[[#This Row],[Data da Venda]])</f>
        <v>2013</v>
      </c>
    </row>
    <row r="396" spans="1:12" ht="15" hidden="1" customHeight="1">
      <c r="A396" s="149" t="s">
        <v>415</v>
      </c>
      <c r="B396" s="150" t="s">
        <v>416</v>
      </c>
      <c r="C396" s="155">
        <v>515</v>
      </c>
      <c r="D396" s="155" t="s">
        <v>328</v>
      </c>
      <c r="E396" s="155" t="s">
        <v>340</v>
      </c>
      <c r="F396" s="156">
        <v>41424</v>
      </c>
      <c r="G396" s="156" t="s">
        <v>172</v>
      </c>
      <c r="H396" s="156" t="s">
        <v>24</v>
      </c>
      <c r="I396" s="157">
        <v>382125.78</v>
      </c>
      <c r="J396" s="160">
        <v>1</v>
      </c>
      <c r="K396" s="159">
        <f>MONTH(Tabela1[[#This Row],[Data da Venda]])</f>
        <v>5</v>
      </c>
      <c r="L396" s="159">
        <f>YEAR(Tabela1[[#This Row],[Data da Venda]])</f>
        <v>2013</v>
      </c>
    </row>
    <row r="397" spans="1:12" ht="15" hidden="1" customHeight="1">
      <c r="A397" s="149" t="s">
        <v>415</v>
      </c>
      <c r="B397" s="150" t="s">
        <v>416</v>
      </c>
      <c r="C397" s="155">
        <v>516</v>
      </c>
      <c r="D397" s="155" t="s">
        <v>328</v>
      </c>
      <c r="E397" s="155" t="s">
        <v>340</v>
      </c>
      <c r="F397" s="156">
        <v>41425</v>
      </c>
      <c r="G397" s="156" t="s">
        <v>172</v>
      </c>
      <c r="H397" s="156" t="s">
        <v>24</v>
      </c>
      <c r="I397" s="157">
        <v>382125.78</v>
      </c>
      <c r="J397" s="160">
        <v>1</v>
      </c>
      <c r="K397" s="159">
        <f>MONTH(Tabela1[[#This Row],[Data da Venda]])</f>
        <v>5</v>
      </c>
      <c r="L397" s="159">
        <f>YEAR(Tabela1[[#This Row],[Data da Venda]])</f>
        <v>2013</v>
      </c>
    </row>
    <row r="398" spans="1:12" ht="15" hidden="1" customHeight="1">
      <c r="A398" s="149" t="s">
        <v>415</v>
      </c>
      <c r="B398" s="150" t="s">
        <v>416</v>
      </c>
      <c r="C398" s="155">
        <v>1315</v>
      </c>
      <c r="D398" s="155" t="s">
        <v>328</v>
      </c>
      <c r="E398" s="155" t="s">
        <v>340</v>
      </c>
      <c r="F398" s="156">
        <v>41425</v>
      </c>
      <c r="G398" s="156" t="s">
        <v>179</v>
      </c>
      <c r="H398" s="156" t="s">
        <v>61</v>
      </c>
      <c r="I398" s="157">
        <v>330000</v>
      </c>
      <c r="J398" s="160">
        <v>1</v>
      </c>
      <c r="K398" s="159">
        <f>MONTH(Tabela1[[#This Row],[Data da Venda]])</f>
        <v>5</v>
      </c>
      <c r="L398" s="159">
        <f>YEAR(Tabela1[[#This Row],[Data da Venda]])</f>
        <v>2013</v>
      </c>
    </row>
    <row r="399" spans="1:12" ht="15" hidden="1" customHeight="1">
      <c r="A399" s="149" t="s">
        <v>191</v>
      </c>
      <c r="B399" s="150" t="s">
        <v>435</v>
      </c>
      <c r="C399" s="155">
        <v>126</v>
      </c>
      <c r="D399" s="155" t="s">
        <v>328</v>
      </c>
      <c r="E399" s="155" t="s">
        <v>339</v>
      </c>
      <c r="F399" s="156">
        <v>41425</v>
      </c>
      <c r="G399" s="156" t="s">
        <v>196</v>
      </c>
      <c r="H399" s="156" t="s">
        <v>24</v>
      </c>
      <c r="I399" s="157">
        <v>120000</v>
      </c>
      <c r="J399" s="160">
        <v>0.5</v>
      </c>
      <c r="K399" s="159">
        <f>MONTH(Tabela1[[#This Row],[Data da Venda]])</f>
        <v>5</v>
      </c>
      <c r="L399" s="159">
        <f>YEAR(Tabela1[[#This Row],[Data da Venda]])</f>
        <v>2013</v>
      </c>
    </row>
    <row r="400" spans="1:12" ht="15" hidden="1" customHeight="1">
      <c r="A400" s="149" t="s">
        <v>191</v>
      </c>
      <c r="B400" s="150" t="s">
        <v>435</v>
      </c>
      <c r="C400" s="155">
        <v>126</v>
      </c>
      <c r="D400" s="155" t="s">
        <v>328</v>
      </c>
      <c r="E400" s="155" t="s">
        <v>339</v>
      </c>
      <c r="F400" s="156">
        <v>41425</v>
      </c>
      <c r="G400" s="156" t="s">
        <v>200</v>
      </c>
      <c r="H400" s="156" t="s">
        <v>24</v>
      </c>
      <c r="I400" s="157">
        <v>120000</v>
      </c>
      <c r="J400" s="160">
        <v>0.5</v>
      </c>
      <c r="K400" s="159">
        <f>MONTH(Tabela1[[#This Row],[Data da Venda]])</f>
        <v>5</v>
      </c>
      <c r="L400" s="159">
        <f>YEAR(Tabela1[[#This Row],[Data da Venda]])</f>
        <v>2013</v>
      </c>
    </row>
    <row r="401" spans="1:12" ht="15" hidden="1" customHeight="1">
      <c r="A401" s="149" t="s">
        <v>89</v>
      </c>
      <c r="B401" s="150" t="s">
        <v>426</v>
      </c>
      <c r="C401" s="155">
        <v>192</v>
      </c>
      <c r="D401" s="155" t="s">
        <v>328</v>
      </c>
      <c r="E401" s="155" t="s">
        <v>339</v>
      </c>
      <c r="F401" s="156">
        <v>41425</v>
      </c>
      <c r="G401" s="156" t="s">
        <v>206</v>
      </c>
      <c r="H401" s="156" t="s">
        <v>25</v>
      </c>
      <c r="I401" s="157">
        <v>1200000</v>
      </c>
      <c r="J401" s="160">
        <v>0.5</v>
      </c>
      <c r="K401" s="159">
        <f>MONTH(Tabela1[[#This Row],[Data da Venda]])</f>
        <v>5</v>
      </c>
      <c r="L401" s="159">
        <f>YEAR(Tabela1[[#This Row],[Data da Venda]])</f>
        <v>2013</v>
      </c>
    </row>
    <row r="402" spans="1:12" ht="15" hidden="1" customHeight="1">
      <c r="A402" s="149" t="s">
        <v>89</v>
      </c>
      <c r="B402" s="150" t="s">
        <v>426</v>
      </c>
      <c r="C402" s="155">
        <v>192</v>
      </c>
      <c r="D402" s="155" t="s">
        <v>328</v>
      </c>
      <c r="E402" s="155" t="s">
        <v>339</v>
      </c>
      <c r="F402" s="156">
        <v>41425</v>
      </c>
      <c r="G402" s="156" t="s">
        <v>173</v>
      </c>
      <c r="H402" s="156" t="s">
        <v>25</v>
      </c>
      <c r="I402" s="157">
        <v>1200000</v>
      </c>
      <c r="J402" s="160">
        <v>0.5</v>
      </c>
      <c r="K402" s="159">
        <f>MONTH(Tabela1[[#This Row],[Data da Venda]])</f>
        <v>5</v>
      </c>
      <c r="L402" s="159">
        <f>YEAR(Tabela1[[#This Row],[Data da Venda]])</f>
        <v>2013</v>
      </c>
    </row>
    <row r="403" spans="1:12" ht="15" hidden="1" customHeight="1">
      <c r="A403" s="149" t="s">
        <v>415</v>
      </c>
      <c r="B403" s="150" t="s">
        <v>416</v>
      </c>
      <c r="C403" s="155">
        <v>2006</v>
      </c>
      <c r="D403" s="155" t="s">
        <v>328</v>
      </c>
      <c r="E403" s="155" t="s">
        <v>340</v>
      </c>
      <c r="F403" s="156">
        <v>41425</v>
      </c>
      <c r="G403" s="156" t="s">
        <v>67</v>
      </c>
      <c r="H403" s="156" t="s">
        <v>26</v>
      </c>
      <c r="I403" s="157">
        <v>177176.5</v>
      </c>
      <c r="J403" s="160">
        <v>0.5</v>
      </c>
      <c r="K403" s="159">
        <f>MONTH(Tabela1[[#This Row],[Data da Venda]])</f>
        <v>5</v>
      </c>
      <c r="L403" s="159">
        <f>YEAR(Tabela1[[#This Row],[Data da Venda]])</f>
        <v>2013</v>
      </c>
    </row>
    <row r="404" spans="1:12" ht="15" hidden="1" customHeight="1">
      <c r="A404" s="149" t="s">
        <v>415</v>
      </c>
      <c r="B404" s="150" t="s">
        <v>416</v>
      </c>
      <c r="C404" s="155">
        <v>2006</v>
      </c>
      <c r="D404" s="155" t="s">
        <v>328</v>
      </c>
      <c r="E404" s="155" t="s">
        <v>340</v>
      </c>
      <c r="F404" s="156">
        <v>41425</v>
      </c>
      <c r="G404" s="156" t="s">
        <v>309</v>
      </c>
      <c r="H404" s="156" t="s">
        <v>26</v>
      </c>
      <c r="I404" s="157">
        <v>177176.5</v>
      </c>
      <c r="J404" s="160">
        <v>0.5</v>
      </c>
      <c r="K404" s="159">
        <f>MONTH(Tabela1[[#This Row],[Data da Venda]])</f>
        <v>5</v>
      </c>
      <c r="L404" s="159">
        <f>YEAR(Tabela1[[#This Row],[Data da Venda]])</f>
        <v>2013</v>
      </c>
    </row>
    <row r="405" spans="1:12" ht="15" hidden="1" customHeight="1">
      <c r="A405" s="149" t="s">
        <v>415</v>
      </c>
      <c r="B405" s="150" t="s">
        <v>416</v>
      </c>
      <c r="C405" s="155">
        <v>2110</v>
      </c>
      <c r="D405" s="155" t="s">
        <v>328</v>
      </c>
      <c r="E405" s="155" t="s">
        <v>340</v>
      </c>
      <c r="F405" s="156">
        <v>41425</v>
      </c>
      <c r="G405" s="156" t="s">
        <v>311</v>
      </c>
      <c r="H405" s="156" t="s">
        <v>61</v>
      </c>
      <c r="I405" s="157">
        <v>397621.86</v>
      </c>
      <c r="J405" s="160">
        <v>1</v>
      </c>
      <c r="K405" s="159">
        <f>MONTH(Tabela1[[#This Row],[Data da Venda]])</f>
        <v>5</v>
      </c>
      <c r="L405" s="159">
        <f>YEAR(Tabela1[[#This Row],[Data da Venda]])</f>
        <v>2013</v>
      </c>
    </row>
    <row r="406" spans="1:12" ht="15" hidden="1" customHeight="1">
      <c r="A406" s="149" t="s">
        <v>415</v>
      </c>
      <c r="B406" s="150" t="s">
        <v>416</v>
      </c>
      <c r="C406" s="155">
        <v>2111</v>
      </c>
      <c r="D406" s="155" t="s">
        <v>328</v>
      </c>
      <c r="E406" s="155" t="s">
        <v>340</v>
      </c>
      <c r="F406" s="156">
        <v>41425</v>
      </c>
      <c r="G406" s="156" t="s">
        <v>311</v>
      </c>
      <c r="H406" s="156" t="s">
        <v>61</v>
      </c>
      <c r="I406" s="157">
        <v>397621.86</v>
      </c>
      <c r="J406" s="160">
        <v>1</v>
      </c>
      <c r="K406" s="159">
        <f>MONTH(Tabela1[[#This Row],[Data da Venda]])</f>
        <v>5</v>
      </c>
      <c r="L406" s="159">
        <f>YEAR(Tabela1[[#This Row],[Data da Venda]])</f>
        <v>2013</v>
      </c>
    </row>
    <row r="407" spans="1:12" ht="15" hidden="1" customHeight="1">
      <c r="A407" s="149" t="s">
        <v>415</v>
      </c>
      <c r="B407" s="150" t="s">
        <v>416</v>
      </c>
      <c r="C407" s="155">
        <v>1906</v>
      </c>
      <c r="D407" s="155" t="s">
        <v>328</v>
      </c>
      <c r="E407" s="155" t="s">
        <v>340</v>
      </c>
      <c r="F407" s="156">
        <v>41429</v>
      </c>
      <c r="G407" s="156" t="s">
        <v>237</v>
      </c>
      <c r="H407" s="156" t="s">
        <v>27</v>
      </c>
      <c r="I407" s="157">
        <v>401788.53</v>
      </c>
      <c r="J407" s="160">
        <v>1</v>
      </c>
      <c r="K407" s="159">
        <f>MONTH(Tabela1[[#This Row],[Data da Venda]])</f>
        <v>6</v>
      </c>
      <c r="L407" s="159">
        <f>YEAR(Tabela1[[#This Row],[Data da Venda]])</f>
        <v>2013</v>
      </c>
    </row>
    <row r="408" spans="1:12" ht="15" hidden="1" customHeight="1">
      <c r="A408" s="149" t="s">
        <v>415</v>
      </c>
      <c r="B408" s="150" t="s">
        <v>416</v>
      </c>
      <c r="C408" s="155">
        <v>2610</v>
      </c>
      <c r="D408" s="155" t="s">
        <v>328</v>
      </c>
      <c r="E408" s="155" t="s">
        <v>340</v>
      </c>
      <c r="F408" s="156">
        <v>41430</v>
      </c>
      <c r="G408" s="156" t="s">
        <v>152</v>
      </c>
      <c r="H408" s="156" t="s">
        <v>61</v>
      </c>
      <c r="I408" s="157">
        <v>204200</v>
      </c>
      <c r="J408" s="160">
        <v>0.5</v>
      </c>
      <c r="K408" s="159">
        <f>MONTH(Tabela1[[#This Row],[Data da Venda]])</f>
        <v>6</v>
      </c>
      <c r="L408" s="159">
        <f>YEAR(Tabela1[[#This Row],[Data da Venda]])</f>
        <v>2013</v>
      </c>
    </row>
    <row r="409" spans="1:12" ht="15" hidden="1" customHeight="1">
      <c r="A409" s="149" t="s">
        <v>415</v>
      </c>
      <c r="B409" s="150" t="s">
        <v>416</v>
      </c>
      <c r="C409" s="155">
        <v>2610</v>
      </c>
      <c r="D409" s="155" t="s">
        <v>328</v>
      </c>
      <c r="E409" s="155" t="s">
        <v>340</v>
      </c>
      <c r="F409" s="156">
        <v>41430</v>
      </c>
      <c r="G409" s="156" t="s">
        <v>180</v>
      </c>
      <c r="H409" s="156" t="s">
        <v>61</v>
      </c>
      <c r="I409" s="157">
        <v>204200</v>
      </c>
      <c r="J409" s="160">
        <v>0.5</v>
      </c>
      <c r="K409" s="159">
        <f>MONTH(Tabela1[[#This Row],[Data da Venda]])</f>
        <v>6</v>
      </c>
      <c r="L409" s="159">
        <f>YEAR(Tabela1[[#This Row],[Data da Venda]])</f>
        <v>2013</v>
      </c>
    </row>
    <row r="410" spans="1:12" ht="15" hidden="1" customHeight="1">
      <c r="A410" s="149" t="s">
        <v>415</v>
      </c>
      <c r="B410" s="150" t="s">
        <v>416</v>
      </c>
      <c r="C410" s="155">
        <v>2003</v>
      </c>
      <c r="D410" s="155" t="s">
        <v>328</v>
      </c>
      <c r="E410" s="155" t="s">
        <v>340</v>
      </c>
      <c r="F410" s="156">
        <v>41431</v>
      </c>
      <c r="G410" s="156" t="s">
        <v>140</v>
      </c>
      <c r="H410" s="156" t="s">
        <v>79</v>
      </c>
      <c r="I410" s="157">
        <v>311136</v>
      </c>
      <c r="J410" s="160">
        <v>1</v>
      </c>
      <c r="K410" s="159">
        <f>MONTH(Tabela1[[#This Row],[Data da Venda]])</f>
        <v>6</v>
      </c>
      <c r="L410" s="159">
        <f>YEAR(Tabela1[[#This Row],[Data da Venda]])</f>
        <v>2013</v>
      </c>
    </row>
    <row r="411" spans="1:12" ht="15" hidden="1" customHeight="1">
      <c r="A411" s="149" t="s">
        <v>415</v>
      </c>
      <c r="B411" s="150" t="s">
        <v>416</v>
      </c>
      <c r="C411" s="155">
        <v>2112</v>
      </c>
      <c r="D411" s="155" t="s">
        <v>328</v>
      </c>
      <c r="E411" s="155" t="s">
        <v>340</v>
      </c>
      <c r="F411" s="156">
        <v>41434</v>
      </c>
      <c r="G411" s="156" t="s">
        <v>77</v>
      </c>
      <c r="H411" s="156" t="s">
        <v>27</v>
      </c>
      <c r="I411" s="157">
        <v>340643.86</v>
      </c>
      <c r="J411" s="160">
        <v>0.5</v>
      </c>
      <c r="K411" s="159">
        <f>MONTH(Tabela1[[#This Row],[Data da Venda]])</f>
        <v>6</v>
      </c>
      <c r="L411" s="159">
        <f>YEAR(Tabela1[[#This Row],[Data da Venda]])</f>
        <v>2013</v>
      </c>
    </row>
    <row r="412" spans="1:12" ht="15" hidden="1" customHeight="1">
      <c r="A412" s="149" t="s">
        <v>415</v>
      </c>
      <c r="B412" s="150" t="s">
        <v>416</v>
      </c>
      <c r="C412" s="155">
        <v>2112</v>
      </c>
      <c r="D412" s="155" t="s">
        <v>328</v>
      </c>
      <c r="E412" s="155" t="s">
        <v>340</v>
      </c>
      <c r="F412" s="156">
        <v>41434</v>
      </c>
      <c r="G412" s="156" t="s">
        <v>78</v>
      </c>
      <c r="H412" s="156" t="s">
        <v>79</v>
      </c>
      <c r="I412" s="157">
        <v>340643.86</v>
      </c>
      <c r="J412" s="160">
        <v>0.5</v>
      </c>
      <c r="K412" s="159">
        <f>MONTH(Tabela1[[#This Row],[Data da Venda]])</f>
        <v>6</v>
      </c>
      <c r="L412" s="159">
        <f>YEAR(Tabela1[[#This Row],[Data da Venda]])</f>
        <v>2013</v>
      </c>
    </row>
    <row r="413" spans="1:12" ht="15" hidden="1" customHeight="1">
      <c r="A413" s="149" t="s">
        <v>191</v>
      </c>
      <c r="B413" s="150" t="s">
        <v>435</v>
      </c>
      <c r="C413" s="155">
        <v>135</v>
      </c>
      <c r="D413" s="155" t="s">
        <v>329</v>
      </c>
      <c r="E413" s="155" t="s">
        <v>339</v>
      </c>
      <c r="F413" s="156">
        <v>41436</v>
      </c>
      <c r="G413" s="156" t="s">
        <v>337</v>
      </c>
      <c r="H413" s="156" t="s">
        <v>33</v>
      </c>
      <c r="I413" s="157">
        <v>248657.21</v>
      </c>
      <c r="J413" s="158">
        <v>1</v>
      </c>
      <c r="K413" s="159">
        <f>MONTH(Tabela1[[#This Row],[Data da Venda]])</f>
        <v>6</v>
      </c>
      <c r="L413" s="159">
        <f>YEAR(Tabela1[[#This Row],[Data da Venda]])</f>
        <v>2013</v>
      </c>
    </row>
    <row r="414" spans="1:12" ht="15" hidden="1" customHeight="1">
      <c r="A414" s="149" t="s">
        <v>415</v>
      </c>
      <c r="B414" s="150" t="s">
        <v>416</v>
      </c>
      <c r="C414" s="155">
        <v>508</v>
      </c>
      <c r="D414" s="155" t="s">
        <v>328</v>
      </c>
      <c r="E414" s="155" t="s">
        <v>340</v>
      </c>
      <c r="F414" s="156">
        <v>41437</v>
      </c>
      <c r="G414" s="156" t="s">
        <v>77</v>
      </c>
      <c r="H414" s="156" t="s">
        <v>27</v>
      </c>
      <c r="I414" s="157">
        <v>190200</v>
      </c>
      <c r="J414" s="160">
        <v>0.5</v>
      </c>
      <c r="K414" s="159">
        <f>MONTH(Tabela1[[#This Row],[Data da Venda]])</f>
        <v>6</v>
      </c>
      <c r="L414" s="159">
        <f>YEAR(Tabela1[[#This Row],[Data da Venda]])</f>
        <v>2013</v>
      </c>
    </row>
    <row r="415" spans="1:12" ht="15" hidden="1" customHeight="1">
      <c r="A415" s="149" t="s">
        <v>415</v>
      </c>
      <c r="B415" s="150" t="s">
        <v>416</v>
      </c>
      <c r="C415" s="155">
        <v>508</v>
      </c>
      <c r="D415" s="155" t="s">
        <v>328</v>
      </c>
      <c r="E415" s="155" t="s">
        <v>340</v>
      </c>
      <c r="F415" s="156">
        <v>41437</v>
      </c>
      <c r="G415" s="156" t="s">
        <v>78</v>
      </c>
      <c r="H415" s="156" t="s">
        <v>79</v>
      </c>
      <c r="I415" s="157">
        <v>190200</v>
      </c>
      <c r="J415" s="160">
        <v>0.5</v>
      </c>
      <c r="K415" s="159">
        <f>MONTH(Tabela1[[#This Row],[Data da Venda]])</f>
        <v>6</v>
      </c>
      <c r="L415" s="159">
        <f>YEAR(Tabela1[[#This Row],[Data da Venda]])</f>
        <v>2013</v>
      </c>
    </row>
    <row r="416" spans="1:12" ht="15" hidden="1" customHeight="1">
      <c r="A416" s="149" t="s">
        <v>415</v>
      </c>
      <c r="B416" s="150" t="s">
        <v>416</v>
      </c>
      <c r="C416" s="155">
        <v>1508</v>
      </c>
      <c r="D416" s="155" t="s">
        <v>328</v>
      </c>
      <c r="E416" s="155" t="s">
        <v>340</v>
      </c>
      <c r="F416" s="156">
        <v>41437</v>
      </c>
      <c r="G416" s="156" t="s">
        <v>77</v>
      </c>
      <c r="H416" s="156" t="s">
        <v>27</v>
      </c>
      <c r="I416" s="157">
        <v>196850</v>
      </c>
      <c r="J416" s="160">
        <v>0.5</v>
      </c>
      <c r="K416" s="159">
        <f>MONTH(Tabela1[[#This Row],[Data da Venda]])</f>
        <v>6</v>
      </c>
      <c r="L416" s="159">
        <f>YEAR(Tabela1[[#This Row],[Data da Venda]])</f>
        <v>2013</v>
      </c>
    </row>
    <row r="417" spans="1:12" ht="15" hidden="1" customHeight="1">
      <c r="A417" s="149" t="s">
        <v>415</v>
      </c>
      <c r="B417" s="150" t="s">
        <v>416</v>
      </c>
      <c r="C417" s="155">
        <v>1508</v>
      </c>
      <c r="D417" s="155" t="s">
        <v>328</v>
      </c>
      <c r="E417" s="155" t="s">
        <v>340</v>
      </c>
      <c r="F417" s="156">
        <v>41437</v>
      </c>
      <c r="G417" s="156" t="s">
        <v>78</v>
      </c>
      <c r="H417" s="156" t="s">
        <v>79</v>
      </c>
      <c r="I417" s="157">
        <v>196850</v>
      </c>
      <c r="J417" s="160">
        <v>0.5</v>
      </c>
      <c r="K417" s="159">
        <f>MONTH(Tabela1[[#This Row],[Data da Venda]])</f>
        <v>6</v>
      </c>
      <c r="L417" s="159">
        <f>YEAR(Tabela1[[#This Row],[Data da Venda]])</f>
        <v>2013</v>
      </c>
    </row>
    <row r="418" spans="1:12" ht="15" hidden="1" customHeight="1">
      <c r="A418" s="149" t="s">
        <v>191</v>
      </c>
      <c r="B418" s="150" t="s">
        <v>385</v>
      </c>
      <c r="C418" s="155">
        <v>105</v>
      </c>
      <c r="D418" s="155" t="s">
        <v>328</v>
      </c>
      <c r="E418" s="155" t="s">
        <v>339</v>
      </c>
      <c r="F418" s="156">
        <v>41437</v>
      </c>
      <c r="G418" s="156" t="s">
        <v>65</v>
      </c>
      <c r="H418" s="156" t="s">
        <v>25</v>
      </c>
      <c r="I418" s="157">
        <v>242141.02</v>
      </c>
      <c r="J418" s="160">
        <v>1</v>
      </c>
      <c r="K418" s="159">
        <f>MONTH(Tabela1[[#This Row],[Data da Venda]])</f>
        <v>6</v>
      </c>
      <c r="L418" s="159">
        <f>YEAR(Tabela1[[#This Row],[Data da Venda]])</f>
        <v>2013</v>
      </c>
    </row>
    <row r="419" spans="1:12" ht="15" hidden="1" customHeight="1">
      <c r="A419" s="149" t="s">
        <v>208</v>
      </c>
      <c r="B419" s="150" t="s">
        <v>399</v>
      </c>
      <c r="C419" s="155">
        <v>196</v>
      </c>
      <c r="D419" s="155" t="s">
        <v>328</v>
      </c>
      <c r="E419" s="155" t="s">
        <v>339</v>
      </c>
      <c r="F419" s="156">
        <v>41439</v>
      </c>
      <c r="G419" s="156" t="s">
        <v>253</v>
      </c>
      <c r="H419" s="156" t="s">
        <v>26</v>
      </c>
      <c r="I419" s="157">
        <v>333514.5</v>
      </c>
      <c r="J419" s="160">
        <v>1</v>
      </c>
      <c r="K419" s="159">
        <f>MONTH(Tabela1[[#This Row],[Data da Venda]])</f>
        <v>6</v>
      </c>
      <c r="L419" s="159">
        <f>YEAR(Tabela1[[#This Row],[Data da Venda]])</f>
        <v>2013</v>
      </c>
    </row>
    <row r="420" spans="1:12" ht="15" hidden="1" customHeight="1">
      <c r="A420" s="149" t="s">
        <v>89</v>
      </c>
      <c r="B420" s="150" t="s">
        <v>426</v>
      </c>
      <c r="C420" s="150">
        <v>151</v>
      </c>
      <c r="D420" s="155" t="s">
        <v>328</v>
      </c>
      <c r="E420" s="155" t="s">
        <v>339</v>
      </c>
      <c r="F420" s="156">
        <v>41439</v>
      </c>
      <c r="G420" s="150" t="s">
        <v>268</v>
      </c>
      <c r="H420" s="156" t="s">
        <v>24</v>
      </c>
      <c r="I420" s="167">
        <v>568250</v>
      </c>
      <c r="J420" s="150">
        <v>0.25</v>
      </c>
      <c r="K420" s="159">
        <f>MONTH(Tabela1[[#This Row],[Data da Venda]])</f>
        <v>6</v>
      </c>
      <c r="L420" s="159">
        <f>YEAR(Tabela1[[#This Row],[Data da Venda]])</f>
        <v>2013</v>
      </c>
    </row>
    <row r="421" spans="1:12" ht="15" hidden="1" customHeight="1">
      <c r="A421" s="149" t="s">
        <v>89</v>
      </c>
      <c r="B421" s="150" t="s">
        <v>426</v>
      </c>
      <c r="C421" s="150">
        <v>151</v>
      </c>
      <c r="D421" s="155" t="s">
        <v>328</v>
      </c>
      <c r="E421" s="155" t="s">
        <v>339</v>
      </c>
      <c r="F421" s="156">
        <v>41439</v>
      </c>
      <c r="G421" s="150" t="s">
        <v>267</v>
      </c>
      <c r="H421" s="150" t="s">
        <v>26</v>
      </c>
      <c r="I421" s="167">
        <v>568250</v>
      </c>
      <c r="J421" s="150">
        <v>0.25</v>
      </c>
      <c r="K421" s="159">
        <f>MONTH(Tabela1[[#This Row],[Data da Venda]])</f>
        <v>6</v>
      </c>
      <c r="L421" s="159">
        <f>YEAR(Tabela1[[#This Row],[Data da Venda]])</f>
        <v>2013</v>
      </c>
    </row>
    <row r="422" spans="1:12" ht="15" hidden="1" customHeight="1">
      <c r="A422" s="149" t="s">
        <v>415</v>
      </c>
      <c r="B422" s="150" t="s">
        <v>416</v>
      </c>
      <c r="C422" s="155">
        <v>509</v>
      </c>
      <c r="D422" s="155" t="s">
        <v>328</v>
      </c>
      <c r="E422" s="155" t="s">
        <v>340</v>
      </c>
      <c r="F422" s="156">
        <v>41441</v>
      </c>
      <c r="G422" s="156" t="s">
        <v>67</v>
      </c>
      <c r="H422" s="156" t="s">
        <v>26</v>
      </c>
      <c r="I422" s="157">
        <v>237274.3</v>
      </c>
      <c r="J422" s="160">
        <v>0.5</v>
      </c>
      <c r="K422" s="159">
        <f>MONTH(Tabela1[[#This Row],[Data da Venda]])</f>
        <v>6</v>
      </c>
      <c r="L422" s="159">
        <f>YEAR(Tabela1[[#This Row],[Data da Venda]])</f>
        <v>2013</v>
      </c>
    </row>
    <row r="423" spans="1:12" ht="15" hidden="1" customHeight="1">
      <c r="A423" s="149" t="s">
        <v>415</v>
      </c>
      <c r="B423" s="150" t="s">
        <v>416</v>
      </c>
      <c r="C423" s="155">
        <v>509</v>
      </c>
      <c r="D423" s="155" t="s">
        <v>328</v>
      </c>
      <c r="E423" s="155" t="s">
        <v>340</v>
      </c>
      <c r="F423" s="156">
        <v>41441</v>
      </c>
      <c r="G423" s="156" t="s">
        <v>104</v>
      </c>
      <c r="H423" s="156" t="s">
        <v>26</v>
      </c>
      <c r="I423" s="157">
        <v>237274.3</v>
      </c>
      <c r="J423" s="160">
        <v>0.5</v>
      </c>
      <c r="K423" s="159">
        <f>MONTH(Tabela1[[#This Row],[Data da Venda]])</f>
        <v>6</v>
      </c>
      <c r="L423" s="159">
        <f>YEAR(Tabela1[[#This Row],[Data da Venda]])</f>
        <v>2013</v>
      </c>
    </row>
    <row r="424" spans="1:12" ht="15" hidden="1" customHeight="1">
      <c r="A424" s="149" t="s">
        <v>415</v>
      </c>
      <c r="B424" s="150" t="s">
        <v>416</v>
      </c>
      <c r="C424" s="155">
        <v>1201</v>
      </c>
      <c r="D424" s="155" t="s">
        <v>328</v>
      </c>
      <c r="E424" s="155" t="s">
        <v>340</v>
      </c>
      <c r="F424" s="156">
        <v>41441</v>
      </c>
      <c r="G424" s="156" t="s">
        <v>170</v>
      </c>
      <c r="H424" s="156" t="s">
        <v>26</v>
      </c>
      <c r="I424" s="157">
        <v>181609.12</v>
      </c>
      <c r="J424" s="160">
        <v>0.5</v>
      </c>
      <c r="K424" s="159">
        <f>MONTH(Tabela1[[#This Row],[Data da Venda]])</f>
        <v>6</v>
      </c>
      <c r="L424" s="159">
        <f>YEAR(Tabela1[[#This Row],[Data da Venda]])</f>
        <v>2013</v>
      </c>
    </row>
    <row r="425" spans="1:12" ht="15" hidden="1" customHeight="1">
      <c r="A425" s="149" t="s">
        <v>415</v>
      </c>
      <c r="B425" s="150" t="s">
        <v>416</v>
      </c>
      <c r="C425" s="155">
        <v>1201</v>
      </c>
      <c r="D425" s="155" t="s">
        <v>328</v>
      </c>
      <c r="E425" s="155" t="s">
        <v>340</v>
      </c>
      <c r="F425" s="156">
        <v>41441</v>
      </c>
      <c r="G425" s="156" t="s">
        <v>168</v>
      </c>
      <c r="H425" s="156" t="s">
        <v>26</v>
      </c>
      <c r="I425" s="157">
        <v>181609.12</v>
      </c>
      <c r="J425" s="160">
        <v>0.5</v>
      </c>
      <c r="K425" s="159">
        <f>MONTH(Tabela1[[#This Row],[Data da Venda]])</f>
        <v>6</v>
      </c>
      <c r="L425" s="159">
        <f>YEAR(Tabela1[[#This Row],[Data da Venda]])</f>
        <v>2013</v>
      </c>
    </row>
    <row r="426" spans="1:12" ht="15" hidden="1" customHeight="1">
      <c r="A426" s="149" t="s">
        <v>415</v>
      </c>
      <c r="B426" s="150" t="s">
        <v>416</v>
      </c>
      <c r="C426" s="155">
        <v>1202</v>
      </c>
      <c r="D426" s="155" t="s">
        <v>328</v>
      </c>
      <c r="E426" s="155" t="s">
        <v>340</v>
      </c>
      <c r="F426" s="156">
        <v>41441</v>
      </c>
      <c r="G426" s="156" t="s">
        <v>62</v>
      </c>
      <c r="H426" s="156" t="s">
        <v>25</v>
      </c>
      <c r="I426" s="157">
        <v>311241.55</v>
      </c>
      <c r="J426" s="160">
        <v>1</v>
      </c>
      <c r="K426" s="159">
        <f>MONTH(Tabela1[[#This Row],[Data da Venda]])</f>
        <v>6</v>
      </c>
      <c r="L426" s="159">
        <f>YEAR(Tabela1[[#This Row],[Data da Venda]])</f>
        <v>2013</v>
      </c>
    </row>
    <row r="427" spans="1:12" ht="15" hidden="1" customHeight="1">
      <c r="A427" s="149" t="s">
        <v>415</v>
      </c>
      <c r="B427" s="150" t="s">
        <v>416</v>
      </c>
      <c r="C427" s="155">
        <v>1316</v>
      </c>
      <c r="D427" s="155" t="s">
        <v>329</v>
      </c>
      <c r="E427" s="155" t="s">
        <v>340</v>
      </c>
      <c r="F427" s="156">
        <v>41441</v>
      </c>
      <c r="G427" s="156" t="s">
        <v>465</v>
      </c>
      <c r="H427" s="156" t="s">
        <v>33</v>
      </c>
      <c r="I427" s="157">
        <v>394120.81</v>
      </c>
      <c r="J427" s="160">
        <v>1</v>
      </c>
      <c r="K427" s="159">
        <f>MONTH(Tabela1[[#This Row],[Data da Venda]])</f>
        <v>6</v>
      </c>
      <c r="L427" s="159">
        <f>YEAR(Tabela1[[#This Row],[Data da Venda]])</f>
        <v>2013</v>
      </c>
    </row>
    <row r="428" spans="1:12" ht="15" hidden="1" customHeight="1">
      <c r="A428" s="149" t="s">
        <v>432</v>
      </c>
      <c r="B428" s="150" t="s">
        <v>412</v>
      </c>
      <c r="C428" s="155">
        <v>75</v>
      </c>
      <c r="D428" s="155" t="s">
        <v>329</v>
      </c>
      <c r="E428" s="155" t="s">
        <v>339</v>
      </c>
      <c r="F428" s="156">
        <v>41442</v>
      </c>
      <c r="G428" s="156" t="s">
        <v>337</v>
      </c>
      <c r="H428" s="156" t="s">
        <v>33</v>
      </c>
      <c r="I428" s="157">
        <v>185276</v>
      </c>
      <c r="J428" s="158">
        <v>1</v>
      </c>
      <c r="K428" s="159">
        <f>MONTH(Tabela1[[#This Row],[Data da Venda]])</f>
        <v>6</v>
      </c>
      <c r="L428" s="159">
        <f>YEAR(Tabela1[[#This Row],[Data da Venda]])</f>
        <v>2013</v>
      </c>
    </row>
    <row r="429" spans="1:12" ht="15" hidden="1" customHeight="1">
      <c r="A429" s="149" t="s">
        <v>191</v>
      </c>
      <c r="B429" s="150" t="s">
        <v>385</v>
      </c>
      <c r="C429" s="155">
        <v>131</v>
      </c>
      <c r="D429" s="155" t="s">
        <v>328</v>
      </c>
      <c r="E429" s="155" t="s">
        <v>339</v>
      </c>
      <c r="F429" s="156">
        <v>41444</v>
      </c>
      <c r="G429" s="156" t="s">
        <v>34</v>
      </c>
      <c r="H429" s="156" t="s">
        <v>24</v>
      </c>
      <c r="I429" s="157">
        <v>228000</v>
      </c>
      <c r="J429" s="160">
        <v>1</v>
      </c>
      <c r="K429" s="159">
        <f>MONTH(Tabela1[[#This Row],[Data da Venda]])</f>
        <v>6</v>
      </c>
      <c r="L429" s="159">
        <f>YEAR(Tabela1[[#This Row],[Data da Venda]])</f>
        <v>2013</v>
      </c>
    </row>
    <row r="430" spans="1:12" ht="15" hidden="1" customHeight="1">
      <c r="A430" s="149" t="s">
        <v>53</v>
      </c>
      <c r="B430" s="150" t="s">
        <v>414</v>
      </c>
      <c r="C430" s="155">
        <v>93</v>
      </c>
      <c r="D430" s="155" t="s">
        <v>328</v>
      </c>
      <c r="E430" s="155" t="s">
        <v>339</v>
      </c>
      <c r="F430" s="156">
        <v>41444</v>
      </c>
      <c r="G430" s="156" t="s">
        <v>43</v>
      </c>
      <c r="H430" s="156" t="s">
        <v>61</v>
      </c>
      <c r="I430" s="157">
        <v>630000</v>
      </c>
      <c r="J430" s="160">
        <v>1</v>
      </c>
      <c r="K430" s="159">
        <f>MONTH(Tabela1[[#This Row],[Data da Venda]])</f>
        <v>6</v>
      </c>
      <c r="L430" s="159">
        <f>YEAR(Tabela1[[#This Row],[Data da Venda]])</f>
        <v>2013</v>
      </c>
    </row>
    <row r="431" spans="1:12" ht="15" hidden="1" customHeight="1">
      <c r="A431" s="149" t="s">
        <v>415</v>
      </c>
      <c r="B431" s="150" t="s">
        <v>416</v>
      </c>
      <c r="C431" s="155">
        <v>409</v>
      </c>
      <c r="D431" s="155" t="s">
        <v>328</v>
      </c>
      <c r="E431" s="155" t="s">
        <v>340</v>
      </c>
      <c r="F431" s="156">
        <v>41445</v>
      </c>
      <c r="G431" s="156" t="s">
        <v>218</v>
      </c>
      <c r="H431" s="156" t="s">
        <v>26</v>
      </c>
      <c r="I431" s="157">
        <v>223200</v>
      </c>
      <c r="J431" s="160">
        <v>0.5</v>
      </c>
      <c r="K431" s="159">
        <f>MONTH(Tabela1[[#This Row],[Data da Venda]])</f>
        <v>6</v>
      </c>
      <c r="L431" s="159">
        <f>YEAR(Tabela1[[#This Row],[Data da Venda]])</f>
        <v>2013</v>
      </c>
    </row>
    <row r="432" spans="1:12" ht="15" hidden="1" customHeight="1">
      <c r="A432" s="149" t="s">
        <v>415</v>
      </c>
      <c r="B432" s="150" t="s">
        <v>416</v>
      </c>
      <c r="C432" s="155">
        <v>409</v>
      </c>
      <c r="D432" s="155" t="s">
        <v>328</v>
      </c>
      <c r="E432" s="155" t="s">
        <v>340</v>
      </c>
      <c r="F432" s="156">
        <v>41445</v>
      </c>
      <c r="G432" s="156" t="s">
        <v>206</v>
      </c>
      <c r="H432" s="156" t="s">
        <v>25</v>
      </c>
      <c r="I432" s="157">
        <v>223200</v>
      </c>
      <c r="J432" s="160">
        <v>0.5</v>
      </c>
      <c r="K432" s="159">
        <f>MONTH(Tabela1[[#This Row],[Data da Venda]])</f>
        <v>6</v>
      </c>
      <c r="L432" s="159">
        <f>YEAR(Tabela1[[#This Row],[Data da Venda]])</f>
        <v>2013</v>
      </c>
    </row>
    <row r="433" spans="1:12" ht="15" hidden="1" customHeight="1">
      <c r="A433" s="149" t="s">
        <v>415</v>
      </c>
      <c r="B433" s="150" t="s">
        <v>416</v>
      </c>
      <c r="C433" s="155">
        <v>2408</v>
      </c>
      <c r="D433" s="155" t="s">
        <v>328</v>
      </c>
      <c r="E433" s="155" t="s">
        <v>340</v>
      </c>
      <c r="F433" s="156">
        <v>41445</v>
      </c>
      <c r="G433" s="156" t="s">
        <v>218</v>
      </c>
      <c r="H433" s="156" t="s">
        <v>26</v>
      </c>
      <c r="I433" s="157">
        <v>241800</v>
      </c>
      <c r="J433" s="160">
        <v>0.5</v>
      </c>
      <c r="K433" s="159">
        <f>MONTH(Tabela1[[#This Row],[Data da Venda]])</f>
        <v>6</v>
      </c>
      <c r="L433" s="159">
        <f>YEAR(Tabela1[[#This Row],[Data da Venda]])</f>
        <v>2013</v>
      </c>
    </row>
    <row r="434" spans="1:12" ht="15" hidden="1" customHeight="1">
      <c r="A434" s="149" t="s">
        <v>415</v>
      </c>
      <c r="B434" s="150" t="s">
        <v>416</v>
      </c>
      <c r="C434" s="155">
        <v>2408</v>
      </c>
      <c r="D434" s="155" t="s">
        <v>328</v>
      </c>
      <c r="E434" s="155" t="s">
        <v>340</v>
      </c>
      <c r="F434" s="156">
        <v>41445</v>
      </c>
      <c r="G434" s="156" t="s">
        <v>206</v>
      </c>
      <c r="H434" s="156" t="s">
        <v>25</v>
      </c>
      <c r="I434" s="157">
        <v>241800</v>
      </c>
      <c r="J434" s="160">
        <v>0.5</v>
      </c>
      <c r="K434" s="159">
        <f>MONTH(Tabela1[[#This Row],[Data da Venda]])</f>
        <v>6</v>
      </c>
      <c r="L434" s="159">
        <f>YEAR(Tabela1[[#This Row],[Data da Venda]])</f>
        <v>2013</v>
      </c>
    </row>
    <row r="435" spans="1:12" ht="15" hidden="1" customHeight="1">
      <c r="A435" s="149" t="s">
        <v>415</v>
      </c>
      <c r="B435" s="150" t="s">
        <v>416</v>
      </c>
      <c r="C435" s="155">
        <v>1604</v>
      </c>
      <c r="D435" s="155" t="s">
        <v>328</v>
      </c>
      <c r="E435" s="155" t="s">
        <v>340</v>
      </c>
      <c r="F435" s="156">
        <v>41446</v>
      </c>
      <c r="G435" s="156" t="s">
        <v>263</v>
      </c>
      <c r="H435" s="156" t="s">
        <v>23</v>
      </c>
      <c r="I435" s="157">
        <v>511460.85</v>
      </c>
      <c r="J435" s="160">
        <v>1</v>
      </c>
      <c r="K435" s="159">
        <f>MONTH(Tabela1[[#This Row],[Data da Venda]])</f>
        <v>6</v>
      </c>
      <c r="L435" s="159">
        <f>YEAR(Tabela1[[#This Row],[Data da Venda]])</f>
        <v>2013</v>
      </c>
    </row>
    <row r="436" spans="1:12" ht="15" hidden="1" customHeight="1">
      <c r="A436" s="149" t="s">
        <v>433</v>
      </c>
      <c r="B436" s="150" t="s">
        <v>434</v>
      </c>
      <c r="C436" s="155">
        <v>211</v>
      </c>
      <c r="D436" s="155" t="s">
        <v>328</v>
      </c>
      <c r="E436" s="155" t="s">
        <v>339</v>
      </c>
      <c r="F436" s="156">
        <v>41446</v>
      </c>
      <c r="G436" s="156" t="s">
        <v>70</v>
      </c>
      <c r="H436" s="156" t="s">
        <v>24</v>
      </c>
      <c r="I436" s="157">
        <v>2050000</v>
      </c>
      <c r="J436" s="158">
        <v>1</v>
      </c>
      <c r="K436" s="159">
        <f>MONTH(Tabela1[[#This Row],[Data da Venda]])</f>
        <v>6</v>
      </c>
      <c r="L436" s="159">
        <f>YEAR(Tabela1[[#This Row],[Data da Venda]])</f>
        <v>2013</v>
      </c>
    </row>
    <row r="437" spans="1:12" ht="15" hidden="1" customHeight="1">
      <c r="A437" s="149" t="s">
        <v>208</v>
      </c>
      <c r="B437" s="150" t="s">
        <v>399</v>
      </c>
      <c r="C437" s="155">
        <v>163</v>
      </c>
      <c r="D437" s="155" t="s">
        <v>328</v>
      </c>
      <c r="E437" s="155" t="s">
        <v>339</v>
      </c>
      <c r="F437" s="156">
        <v>41448</v>
      </c>
      <c r="G437" s="156" t="s">
        <v>262</v>
      </c>
      <c r="H437" s="156" t="s">
        <v>24</v>
      </c>
      <c r="I437" s="157">
        <v>241840</v>
      </c>
      <c r="J437" s="160">
        <v>1</v>
      </c>
      <c r="K437" s="159">
        <f>MONTH(Tabela1[[#This Row],[Data da Venda]])</f>
        <v>6</v>
      </c>
      <c r="L437" s="159">
        <f>YEAR(Tabela1[[#This Row],[Data da Venda]])</f>
        <v>2013</v>
      </c>
    </row>
    <row r="438" spans="1:12" ht="15" hidden="1" customHeight="1">
      <c r="A438" s="149" t="s">
        <v>415</v>
      </c>
      <c r="B438" s="150" t="s">
        <v>416</v>
      </c>
      <c r="C438" s="155">
        <v>1907</v>
      </c>
      <c r="D438" s="155" t="s">
        <v>328</v>
      </c>
      <c r="E438" s="155" t="s">
        <v>340</v>
      </c>
      <c r="F438" s="156">
        <v>41449</v>
      </c>
      <c r="G438" s="156" t="s">
        <v>49</v>
      </c>
      <c r="H438" s="156" t="s">
        <v>23</v>
      </c>
      <c r="I438" s="157">
        <v>404758.25</v>
      </c>
      <c r="J438" s="160">
        <v>1</v>
      </c>
      <c r="K438" s="159">
        <f>MONTH(Tabela1[[#This Row],[Data da Venda]])</f>
        <v>6</v>
      </c>
      <c r="L438" s="159">
        <f>YEAR(Tabela1[[#This Row],[Data da Venda]])</f>
        <v>2013</v>
      </c>
    </row>
    <row r="439" spans="1:12" ht="15" hidden="1" customHeight="1">
      <c r="A439" s="149" t="s">
        <v>415</v>
      </c>
      <c r="B439" s="150" t="s">
        <v>416</v>
      </c>
      <c r="C439" s="155">
        <v>2107</v>
      </c>
      <c r="D439" s="155" t="s">
        <v>328</v>
      </c>
      <c r="E439" s="155" t="s">
        <v>340</v>
      </c>
      <c r="F439" s="156">
        <v>41449</v>
      </c>
      <c r="G439" s="156" t="s">
        <v>49</v>
      </c>
      <c r="H439" s="156" t="s">
        <v>23</v>
      </c>
      <c r="I439" s="157">
        <v>409340.23</v>
      </c>
      <c r="J439" s="160">
        <v>1</v>
      </c>
      <c r="K439" s="159">
        <f>MONTH(Tabela1[[#This Row],[Data da Venda]])</f>
        <v>6</v>
      </c>
      <c r="L439" s="159">
        <f>YEAR(Tabela1[[#This Row],[Data da Venda]])</f>
        <v>2013</v>
      </c>
    </row>
    <row r="440" spans="1:12" ht="15" hidden="1" customHeight="1">
      <c r="A440" s="149" t="s">
        <v>425</v>
      </c>
      <c r="B440" s="150" t="s">
        <v>393</v>
      </c>
      <c r="C440" s="155">
        <v>28</v>
      </c>
      <c r="D440" s="155" t="s">
        <v>328</v>
      </c>
      <c r="E440" s="155" t="s">
        <v>340</v>
      </c>
      <c r="F440" s="156">
        <v>41450</v>
      </c>
      <c r="G440" s="156" t="s">
        <v>287</v>
      </c>
      <c r="H440" s="156" t="s">
        <v>61</v>
      </c>
      <c r="I440" s="157">
        <v>188230.72</v>
      </c>
      <c r="J440" s="160">
        <v>0.5</v>
      </c>
      <c r="K440" s="159">
        <f>MONTH(Tabela1[[#This Row],[Data da Venda]])</f>
        <v>6</v>
      </c>
      <c r="L440" s="159">
        <f>YEAR(Tabela1[[#This Row],[Data da Venda]])</f>
        <v>2013</v>
      </c>
    </row>
    <row r="441" spans="1:12" ht="15" hidden="1" customHeight="1">
      <c r="A441" s="149" t="s">
        <v>425</v>
      </c>
      <c r="B441" s="150" t="s">
        <v>393</v>
      </c>
      <c r="C441" s="155">
        <v>28</v>
      </c>
      <c r="D441" s="155" t="s">
        <v>328</v>
      </c>
      <c r="E441" s="155" t="s">
        <v>340</v>
      </c>
      <c r="F441" s="156">
        <v>41450</v>
      </c>
      <c r="G441" s="156" t="s">
        <v>289</v>
      </c>
      <c r="H441" s="156" t="s">
        <v>61</v>
      </c>
      <c r="I441" s="157">
        <v>188230.72</v>
      </c>
      <c r="J441" s="160">
        <v>0.5</v>
      </c>
      <c r="K441" s="159">
        <f>MONTH(Tabela1[[#This Row],[Data da Venda]])</f>
        <v>6</v>
      </c>
      <c r="L441" s="159">
        <f>YEAR(Tabela1[[#This Row],[Data da Venda]])</f>
        <v>2013</v>
      </c>
    </row>
    <row r="442" spans="1:12" ht="15" hidden="1" customHeight="1">
      <c r="A442" s="149" t="s">
        <v>425</v>
      </c>
      <c r="B442" s="150" t="s">
        <v>393</v>
      </c>
      <c r="C442" s="155">
        <v>46</v>
      </c>
      <c r="D442" s="155" t="s">
        <v>329</v>
      </c>
      <c r="E442" s="155" t="s">
        <v>340</v>
      </c>
      <c r="F442" s="156">
        <v>41450</v>
      </c>
      <c r="G442" s="156" t="s">
        <v>337</v>
      </c>
      <c r="H442" s="156" t="s">
        <v>33</v>
      </c>
      <c r="I442" s="157">
        <v>486471.79</v>
      </c>
      <c r="J442" s="158">
        <v>1</v>
      </c>
      <c r="K442" s="159">
        <f>MONTH(Tabela1[[#This Row],[Data da Venda]])</f>
        <v>6</v>
      </c>
      <c r="L442" s="159">
        <f>YEAR(Tabela1[[#This Row],[Data da Venda]])</f>
        <v>2013</v>
      </c>
    </row>
    <row r="443" spans="1:12" ht="15" hidden="1" customHeight="1">
      <c r="A443" s="149" t="s">
        <v>425</v>
      </c>
      <c r="B443" s="150" t="s">
        <v>393</v>
      </c>
      <c r="C443" s="155">
        <v>48</v>
      </c>
      <c r="D443" s="155" t="s">
        <v>328</v>
      </c>
      <c r="E443" s="155" t="s">
        <v>340</v>
      </c>
      <c r="F443" s="156">
        <v>41450</v>
      </c>
      <c r="G443" s="156" t="s">
        <v>287</v>
      </c>
      <c r="H443" s="156" t="s">
        <v>61</v>
      </c>
      <c r="I443" s="157">
        <v>192052.43</v>
      </c>
      <c r="J443" s="160">
        <v>0.5</v>
      </c>
      <c r="K443" s="159">
        <f>MONTH(Tabela1[[#This Row],[Data da Venda]])</f>
        <v>6</v>
      </c>
      <c r="L443" s="159">
        <f>YEAR(Tabela1[[#This Row],[Data da Venda]])</f>
        <v>2013</v>
      </c>
    </row>
    <row r="444" spans="1:12" ht="15" hidden="1" customHeight="1">
      <c r="A444" s="149" t="s">
        <v>425</v>
      </c>
      <c r="B444" s="150" t="s">
        <v>393</v>
      </c>
      <c r="C444" s="155">
        <v>48</v>
      </c>
      <c r="D444" s="155" t="s">
        <v>328</v>
      </c>
      <c r="E444" s="155" t="s">
        <v>340</v>
      </c>
      <c r="F444" s="156">
        <v>41450</v>
      </c>
      <c r="G444" s="156" t="s">
        <v>289</v>
      </c>
      <c r="H444" s="156" t="s">
        <v>61</v>
      </c>
      <c r="I444" s="157">
        <v>192052.43</v>
      </c>
      <c r="J444" s="160">
        <v>0.5</v>
      </c>
      <c r="K444" s="159">
        <f>MONTH(Tabela1[[#This Row],[Data da Venda]])</f>
        <v>6</v>
      </c>
      <c r="L444" s="159">
        <f>YEAR(Tabela1[[#This Row],[Data da Venda]])</f>
        <v>2013</v>
      </c>
    </row>
    <row r="445" spans="1:12" ht="15" hidden="1" customHeight="1">
      <c r="A445" s="149" t="s">
        <v>425</v>
      </c>
      <c r="B445" s="150" t="s">
        <v>393</v>
      </c>
      <c r="C445" s="155">
        <v>57</v>
      </c>
      <c r="D445" s="155" t="s">
        <v>329</v>
      </c>
      <c r="E445" s="155" t="s">
        <v>340</v>
      </c>
      <c r="F445" s="156">
        <v>41450</v>
      </c>
      <c r="G445" s="156" t="s">
        <v>337</v>
      </c>
      <c r="H445" s="156" t="s">
        <v>33</v>
      </c>
      <c r="I445" s="157">
        <v>500528.43</v>
      </c>
      <c r="J445" s="158">
        <v>1</v>
      </c>
      <c r="K445" s="159">
        <f>MONTH(Tabela1[[#This Row],[Data da Venda]])</f>
        <v>6</v>
      </c>
      <c r="L445" s="159">
        <f>YEAR(Tabela1[[#This Row],[Data da Venda]])</f>
        <v>2013</v>
      </c>
    </row>
    <row r="446" spans="1:12" ht="15" hidden="1" customHeight="1">
      <c r="A446" s="149" t="s">
        <v>425</v>
      </c>
      <c r="B446" s="150" t="s">
        <v>398</v>
      </c>
      <c r="C446" s="155">
        <v>64</v>
      </c>
      <c r="D446" s="155" t="s">
        <v>328</v>
      </c>
      <c r="E446" s="155" t="s">
        <v>340</v>
      </c>
      <c r="F446" s="156">
        <v>41450</v>
      </c>
      <c r="G446" s="156" t="s">
        <v>302</v>
      </c>
      <c r="H446" s="156" t="s">
        <v>25</v>
      </c>
      <c r="I446" s="157">
        <v>666220.05000000005</v>
      </c>
      <c r="J446" s="158">
        <v>1</v>
      </c>
      <c r="K446" s="159">
        <f>MONTH(Tabela1[[#This Row],[Data da Venda]])</f>
        <v>6</v>
      </c>
      <c r="L446" s="159">
        <f>YEAR(Tabela1[[#This Row],[Data da Venda]])</f>
        <v>2013</v>
      </c>
    </row>
    <row r="447" spans="1:12" ht="15" hidden="1" customHeight="1">
      <c r="A447" s="149" t="s">
        <v>425</v>
      </c>
      <c r="B447" s="150" t="s">
        <v>403</v>
      </c>
      <c r="C447" s="155">
        <v>74</v>
      </c>
      <c r="D447" s="155" t="s">
        <v>328</v>
      </c>
      <c r="E447" s="155" t="s">
        <v>340</v>
      </c>
      <c r="F447" s="156">
        <v>41450</v>
      </c>
      <c r="G447" s="156" t="s">
        <v>297</v>
      </c>
      <c r="H447" s="156" t="s">
        <v>23</v>
      </c>
      <c r="I447" s="157">
        <v>646529.66</v>
      </c>
      <c r="J447" s="158">
        <v>1</v>
      </c>
      <c r="K447" s="159">
        <f>MONTH(Tabela1[[#This Row],[Data da Venda]])</f>
        <v>6</v>
      </c>
      <c r="L447" s="159">
        <f>YEAR(Tabela1[[#This Row],[Data da Venda]])</f>
        <v>2013</v>
      </c>
    </row>
    <row r="448" spans="1:12" ht="15" hidden="1" customHeight="1">
      <c r="A448" s="149" t="s">
        <v>415</v>
      </c>
      <c r="B448" s="150" t="s">
        <v>416</v>
      </c>
      <c r="C448" s="155">
        <v>907</v>
      </c>
      <c r="D448" s="155" t="s">
        <v>328</v>
      </c>
      <c r="E448" s="155" t="s">
        <v>340</v>
      </c>
      <c r="F448" s="156">
        <v>41451</v>
      </c>
      <c r="G448" s="156" t="s">
        <v>87</v>
      </c>
      <c r="H448" s="156" t="s">
        <v>79</v>
      </c>
      <c r="I448" s="157">
        <v>370300</v>
      </c>
      <c r="J448" s="160">
        <v>1</v>
      </c>
      <c r="K448" s="159">
        <f>MONTH(Tabela1[[#This Row],[Data da Venda]])</f>
        <v>6</v>
      </c>
      <c r="L448" s="159">
        <f>YEAR(Tabela1[[#This Row],[Data da Venda]])</f>
        <v>2013</v>
      </c>
    </row>
    <row r="449" spans="1:12" ht="15" hidden="1" customHeight="1">
      <c r="A449" s="149" t="s">
        <v>425</v>
      </c>
      <c r="B449" s="150" t="s">
        <v>404</v>
      </c>
      <c r="C449" s="155">
        <v>7</v>
      </c>
      <c r="D449" s="155" t="s">
        <v>328</v>
      </c>
      <c r="E449" s="155" t="s">
        <v>340</v>
      </c>
      <c r="F449" s="156">
        <v>41451</v>
      </c>
      <c r="G449" s="156" t="s">
        <v>292</v>
      </c>
      <c r="H449" s="156" t="s">
        <v>23</v>
      </c>
      <c r="I449" s="157">
        <v>493903.91</v>
      </c>
      <c r="J449" s="160">
        <v>1</v>
      </c>
      <c r="K449" s="159">
        <f>MONTH(Tabela1[[#This Row],[Data da Venda]])</f>
        <v>6</v>
      </c>
      <c r="L449" s="159">
        <f>YEAR(Tabela1[[#This Row],[Data da Venda]])</f>
        <v>2013</v>
      </c>
    </row>
    <row r="450" spans="1:12" ht="15" hidden="1" customHeight="1">
      <c r="A450" s="149" t="s">
        <v>425</v>
      </c>
      <c r="B450" s="150" t="s">
        <v>404</v>
      </c>
      <c r="C450" s="155">
        <v>14</v>
      </c>
      <c r="D450" s="155" t="s">
        <v>328</v>
      </c>
      <c r="E450" s="155" t="s">
        <v>340</v>
      </c>
      <c r="F450" s="156">
        <v>41451</v>
      </c>
      <c r="G450" s="156" t="s">
        <v>283</v>
      </c>
      <c r="H450" s="156" t="s">
        <v>26</v>
      </c>
      <c r="I450" s="157">
        <v>387928.72</v>
      </c>
      <c r="J450" s="158">
        <v>1</v>
      </c>
      <c r="K450" s="159">
        <f>MONTH(Tabela1[[#This Row],[Data da Venda]])</f>
        <v>6</v>
      </c>
      <c r="L450" s="159">
        <f>YEAR(Tabela1[[#This Row],[Data da Venda]])</f>
        <v>2013</v>
      </c>
    </row>
    <row r="451" spans="1:12" ht="15" hidden="1" customHeight="1">
      <c r="A451" s="149" t="s">
        <v>425</v>
      </c>
      <c r="B451" s="150" t="s">
        <v>393</v>
      </c>
      <c r="C451" s="155">
        <v>26</v>
      </c>
      <c r="D451" s="155" t="s">
        <v>328</v>
      </c>
      <c r="E451" s="155" t="s">
        <v>340</v>
      </c>
      <c r="F451" s="156">
        <v>41451</v>
      </c>
      <c r="G451" s="156" t="s">
        <v>285</v>
      </c>
      <c r="H451" s="156" t="s">
        <v>61</v>
      </c>
      <c r="I451" s="157">
        <v>225312.27</v>
      </c>
      <c r="J451" s="160">
        <v>0.5</v>
      </c>
      <c r="K451" s="159">
        <f>MONTH(Tabela1[[#This Row],[Data da Venda]])</f>
        <v>6</v>
      </c>
      <c r="L451" s="159">
        <f>YEAR(Tabela1[[#This Row],[Data da Venda]])</f>
        <v>2013</v>
      </c>
    </row>
    <row r="452" spans="1:12" ht="15" hidden="1" customHeight="1">
      <c r="A452" s="149" t="s">
        <v>425</v>
      </c>
      <c r="B452" s="150" t="s">
        <v>393</v>
      </c>
      <c r="C452" s="155">
        <v>26</v>
      </c>
      <c r="D452" s="155" t="s">
        <v>328</v>
      </c>
      <c r="E452" s="155" t="s">
        <v>340</v>
      </c>
      <c r="F452" s="156">
        <v>41451</v>
      </c>
      <c r="G452" s="156" t="s">
        <v>286</v>
      </c>
      <c r="H452" s="156" t="s">
        <v>61</v>
      </c>
      <c r="I452" s="157">
        <v>225312.27</v>
      </c>
      <c r="J452" s="160">
        <v>0.5</v>
      </c>
      <c r="K452" s="159">
        <f>MONTH(Tabela1[[#This Row],[Data da Venda]])</f>
        <v>6</v>
      </c>
      <c r="L452" s="159">
        <f>YEAR(Tabela1[[#This Row],[Data da Venda]])</f>
        <v>2013</v>
      </c>
    </row>
    <row r="453" spans="1:12" ht="15" hidden="1" customHeight="1">
      <c r="A453" s="149" t="s">
        <v>425</v>
      </c>
      <c r="B453" s="150" t="s">
        <v>398</v>
      </c>
      <c r="C453" s="155">
        <v>31</v>
      </c>
      <c r="D453" s="155" t="s">
        <v>328</v>
      </c>
      <c r="E453" s="155" t="s">
        <v>340</v>
      </c>
      <c r="F453" s="156">
        <v>41451</v>
      </c>
      <c r="G453" s="156" t="s">
        <v>307</v>
      </c>
      <c r="H453" s="156" t="s">
        <v>24</v>
      </c>
      <c r="I453" s="157">
        <v>326610.53000000003</v>
      </c>
      <c r="J453" s="158">
        <v>0.5</v>
      </c>
      <c r="K453" s="159">
        <f>MONTH(Tabela1[[#This Row],[Data da Venda]])</f>
        <v>6</v>
      </c>
      <c r="L453" s="159">
        <f>YEAR(Tabela1[[#This Row],[Data da Venda]])</f>
        <v>2013</v>
      </c>
    </row>
    <row r="454" spans="1:12" ht="15" hidden="1" customHeight="1">
      <c r="A454" s="149" t="s">
        <v>425</v>
      </c>
      <c r="B454" s="150" t="s">
        <v>398</v>
      </c>
      <c r="C454" s="155">
        <v>31</v>
      </c>
      <c r="D454" s="155" t="s">
        <v>328</v>
      </c>
      <c r="E454" s="155" t="s">
        <v>340</v>
      </c>
      <c r="F454" s="156">
        <v>41451</v>
      </c>
      <c r="G454" s="156" t="s">
        <v>55</v>
      </c>
      <c r="H454" s="156" t="s">
        <v>24</v>
      </c>
      <c r="I454" s="157">
        <v>326610.53000000003</v>
      </c>
      <c r="J454" s="158">
        <v>0.5</v>
      </c>
      <c r="K454" s="159">
        <f>MONTH(Tabela1[[#This Row],[Data da Venda]])</f>
        <v>6</v>
      </c>
      <c r="L454" s="159">
        <f>YEAR(Tabela1[[#This Row],[Data da Venda]])</f>
        <v>2013</v>
      </c>
    </row>
    <row r="455" spans="1:12" ht="15" hidden="1" customHeight="1">
      <c r="A455" s="149" t="s">
        <v>425</v>
      </c>
      <c r="B455" s="150" t="s">
        <v>404</v>
      </c>
      <c r="C455" s="155">
        <v>31</v>
      </c>
      <c r="D455" s="155" t="s">
        <v>328</v>
      </c>
      <c r="E455" s="155" t="s">
        <v>340</v>
      </c>
      <c r="F455" s="156">
        <v>41451</v>
      </c>
      <c r="G455" s="156" t="s">
        <v>290</v>
      </c>
      <c r="H455" s="156" t="s">
        <v>61</v>
      </c>
      <c r="I455" s="157">
        <v>384395.95</v>
      </c>
      <c r="J455" s="158">
        <v>1</v>
      </c>
      <c r="K455" s="159">
        <f>MONTH(Tabela1[[#This Row],[Data da Venda]])</f>
        <v>6</v>
      </c>
      <c r="L455" s="159">
        <f>YEAR(Tabela1[[#This Row],[Data da Venda]])</f>
        <v>2013</v>
      </c>
    </row>
    <row r="456" spans="1:12" ht="15" hidden="1" customHeight="1">
      <c r="A456" s="149" t="s">
        <v>425</v>
      </c>
      <c r="B456" s="150" t="s">
        <v>393</v>
      </c>
      <c r="C456" s="155">
        <v>37</v>
      </c>
      <c r="D456" s="155" t="s">
        <v>328</v>
      </c>
      <c r="E456" s="155" t="s">
        <v>340</v>
      </c>
      <c r="F456" s="156">
        <v>41451</v>
      </c>
      <c r="G456" s="156" t="s">
        <v>295</v>
      </c>
      <c r="H456" s="156" t="s">
        <v>25</v>
      </c>
      <c r="I456" s="157">
        <v>232264.44</v>
      </c>
      <c r="J456" s="160">
        <v>0.5</v>
      </c>
      <c r="K456" s="159">
        <f>MONTH(Tabela1[[#This Row],[Data da Venda]])</f>
        <v>6</v>
      </c>
      <c r="L456" s="159">
        <f>YEAR(Tabela1[[#This Row],[Data da Venda]])</f>
        <v>2013</v>
      </c>
    </row>
    <row r="457" spans="1:12" ht="15" hidden="1" customHeight="1">
      <c r="A457" s="149" t="s">
        <v>425</v>
      </c>
      <c r="B457" s="150" t="s">
        <v>393</v>
      </c>
      <c r="C457" s="155">
        <v>37</v>
      </c>
      <c r="D457" s="155" t="s">
        <v>328</v>
      </c>
      <c r="E457" s="155" t="s">
        <v>340</v>
      </c>
      <c r="F457" s="156">
        <v>41451</v>
      </c>
      <c r="G457" s="156" t="s">
        <v>292</v>
      </c>
      <c r="H457" s="156" t="s">
        <v>23</v>
      </c>
      <c r="I457" s="157">
        <v>232264.44</v>
      </c>
      <c r="J457" s="160">
        <v>0.5</v>
      </c>
      <c r="K457" s="159">
        <f>MONTH(Tabela1[[#This Row],[Data da Venda]])</f>
        <v>6</v>
      </c>
      <c r="L457" s="159">
        <f>YEAR(Tabela1[[#This Row],[Data da Venda]])</f>
        <v>2013</v>
      </c>
    </row>
    <row r="458" spans="1:12" ht="15" hidden="1" customHeight="1">
      <c r="A458" s="149" t="s">
        <v>425</v>
      </c>
      <c r="B458" s="150" t="s">
        <v>404</v>
      </c>
      <c r="C458" s="155">
        <v>38</v>
      </c>
      <c r="D458" s="155" t="s">
        <v>328</v>
      </c>
      <c r="E458" s="155" t="s">
        <v>340</v>
      </c>
      <c r="F458" s="156">
        <v>41451</v>
      </c>
      <c r="G458" s="156" t="s">
        <v>290</v>
      </c>
      <c r="H458" s="156" t="s">
        <v>61</v>
      </c>
      <c r="I458" s="157">
        <v>384395.95</v>
      </c>
      <c r="J458" s="158">
        <v>1</v>
      </c>
      <c r="K458" s="159">
        <f>MONTH(Tabela1[[#This Row],[Data da Venda]])</f>
        <v>6</v>
      </c>
      <c r="L458" s="159">
        <f>YEAR(Tabela1[[#This Row],[Data da Venda]])</f>
        <v>2013</v>
      </c>
    </row>
    <row r="459" spans="1:12" ht="15" hidden="1" customHeight="1">
      <c r="A459" s="149" t="s">
        <v>425</v>
      </c>
      <c r="B459" s="150" t="s">
        <v>403</v>
      </c>
      <c r="C459" s="155">
        <v>41</v>
      </c>
      <c r="D459" s="155" t="s">
        <v>328</v>
      </c>
      <c r="E459" s="155" t="s">
        <v>340</v>
      </c>
      <c r="F459" s="156">
        <v>41451</v>
      </c>
      <c r="G459" s="156" t="s">
        <v>290</v>
      </c>
      <c r="H459" s="156" t="s">
        <v>61</v>
      </c>
      <c r="I459" s="157">
        <v>633955.6</v>
      </c>
      <c r="J459" s="158">
        <v>1</v>
      </c>
      <c r="K459" s="159">
        <f>MONTH(Tabela1[[#This Row],[Data da Venda]])</f>
        <v>6</v>
      </c>
      <c r="L459" s="159">
        <f>YEAR(Tabela1[[#This Row],[Data da Venda]])</f>
        <v>2013</v>
      </c>
    </row>
    <row r="460" spans="1:12" ht="15" hidden="1" customHeight="1">
      <c r="A460" s="149" t="s">
        <v>425</v>
      </c>
      <c r="B460" s="150" t="s">
        <v>393</v>
      </c>
      <c r="C460" s="155">
        <v>53</v>
      </c>
      <c r="D460" s="155" t="s">
        <v>328</v>
      </c>
      <c r="E460" s="155" t="s">
        <v>340</v>
      </c>
      <c r="F460" s="156">
        <v>41451</v>
      </c>
      <c r="G460" s="156" t="s">
        <v>277</v>
      </c>
      <c r="H460" s="156" t="s">
        <v>79</v>
      </c>
      <c r="I460" s="157">
        <v>479051.8</v>
      </c>
      <c r="J460" s="160">
        <v>1</v>
      </c>
      <c r="K460" s="159">
        <f>MONTH(Tabela1[[#This Row],[Data da Venda]])</f>
        <v>6</v>
      </c>
      <c r="L460" s="159">
        <f>YEAR(Tabela1[[#This Row],[Data da Venda]])</f>
        <v>2013</v>
      </c>
    </row>
    <row r="461" spans="1:12" ht="15" hidden="1" customHeight="1">
      <c r="A461" s="149" t="s">
        <v>425</v>
      </c>
      <c r="B461" s="150" t="s">
        <v>404</v>
      </c>
      <c r="C461" s="155">
        <v>56</v>
      </c>
      <c r="D461" s="155" t="s">
        <v>328</v>
      </c>
      <c r="E461" s="155" t="s">
        <v>340</v>
      </c>
      <c r="F461" s="156">
        <v>41451</v>
      </c>
      <c r="G461" s="156" t="s">
        <v>295</v>
      </c>
      <c r="H461" s="156" t="s">
        <v>25</v>
      </c>
      <c r="I461" s="157">
        <v>507951.47</v>
      </c>
      <c r="J461" s="160">
        <v>1</v>
      </c>
      <c r="K461" s="159">
        <f>MONTH(Tabela1[[#This Row],[Data da Venda]])</f>
        <v>6</v>
      </c>
      <c r="L461" s="159">
        <f>YEAR(Tabela1[[#This Row],[Data da Venda]])</f>
        <v>2013</v>
      </c>
    </row>
    <row r="462" spans="1:12" ht="15" hidden="1" customHeight="1">
      <c r="A462" s="149" t="s">
        <v>425</v>
      </c>
      <c r="B462" s="150" t="s">
        <v>393</v>
      </c>
      <c r="C462" s="155">
        <v>62</v>
      </c>
      <c r="D462" s="155" t="s">
        <v>328</v>
      </c>
      <c r="E462" s="155" t="s">
        <v>340</v>
      </c>
      <c r="F462" s="156">
        <v>41451</v>
      </c>
      <c r="G462" s="156" t="s">
        <v>206</v>
      </c>
      <c r="H462" s="156" t="s">
        <v>25</v>
      </c>
      <c r="I462" s="157">
        <v>246016</v>
      </c>
      <c r="J462" s="158">
        <v>0.5</v>
      </c>
      <c r="K462" s="159">
        <f>MONTH(Tabela1[[#This Row],[Data da Venda]])</f>
        <v>6</v>
      </c>
      <c r="L462" s="159">
        <f>YEAR(Tabela1[[#This Row],[Data da Venda]])</f>
        <v>2013</v>
      </c>
    </row>
    <row r="463" spans="1:12" ht="15" hidden="1" customHeight="1">
      <c r="A463" s="149" t="s">
        <v>425</v>
      </c>
      <c r="B463" s="150" t="s">
        <v>393</v>
      </c>
      <c r="C463" s="155">
        <v>62</v>
      </c>
      <c r="D463" s="155" t="s">
        <v>328</v>
      </c>
      <c r="E463" s="155" t="s">
        <v>340</v>
      </c>
      <c r="F463" s="156">
        <v>41451</v>
      </c>
      <c r="G463" s="156" t="s">
        <v>63</v>
      </c>
      <c r="H463" s="156" t="s">
        <v>25</v>
      </c>
      <c r="I463" s="157">
        <v>246016</v>
      </c>
      <c r="J463" s="158">
        <v>0.5</v>
      </c>
      <c r="K463" s="159">
        <f>MONTH(Tabela1[[#This Row],[Data da Venda]])</f>
        <v>6</v>
      </c>
      <c r="L463" s="159">
        <f>YEAR(Tabela1[[#This Row],[Data da Venda]])</f>
        <v>2013</v>
      </c>
    </row>
    <row r="464" spans="1:12" ht="15" hidden="1" customHeight="1">
      <c r="A464" s="149" t="s">
        <v>425</v>
      </c>
      <c r="B464" s="150" t="s">
        <v>404</v>
      </c>
      <c r="C464" s="155">
        <v>65</v>
      </c>
      <c r="D464" s="155" t="s">
        <v>329</v>
      </c>
      <c r="E464" s="155" t="s">
        <v>340</v>
      </c>
      <c r="F464" s="156">
        <v>41451</v>
      </c>
      <c r="G464" s="156" t="s">
        <v>337</v>
      </c>
      <c r="H464" s="156" t="s">
        <v>33</v>
      </c>
      <c r="I464" s="157">
        <v>401713.27</v>
      </c>
      <c r="J464" s="158">
        <v>1</v>
      </c>
      <c r="K464" s="159">
        <f>MONTH(Tabela1[[#This Row],[Data da Venda]])</f>
        <v>6</v>
      </c>
      <c r="L464" s="159">
        <f>YEAR(Tabela1[[#This Row],[Data da Venda]])</f>
        <v>2013</v>
      </c>
    </row>
    <row r="465" spans="1:12" ht="15" hidden="1" customHeight="1">
      <c r="A465" s="149" t="s">
        <v>425</v>
      </c>
      <c r="B465" s="150" t="s">
        <v>393</v>
      </c>
      <c r="C465" s="155">
        <v>66</v>
      </c>
      <c r="D465" s="155" t="s">
        <v>328</v>
      </c>
      <c r="E465" s="155" t="s">
        <v>340</v>
      </c>
      <c r="F465" s="156">
        <v>41451</v>
      </c>
      <c r="G465" s="156" t="s">
        <v>282</v>
      </c>
      <c r="H465" s="156" t="s">
        <v>26</v>
      </c>
      <c r="I465" s="157">
        <v>435257.82</v>
      </c>
      <c r="J465" s="158">
        <v>1</v>
      </c>
      <c r="K465" s="159">
        <f>MONTH(Tabela1[[#This Row],[Data da Venda]])</f>
        <v>6</v>
      </c>
      <c r="L465" s="159">
        <f>YEAR(Tabela1[[#This Row],[Data da Venda]])</f>
        <v>2013</v>
      </c>
    </row>
    <row r="466" spans="1:12" ht="15" hidden="1" customHeight="1">
      <c r="A466" s="149" t="s">
        <v>425</v>
      </c>
      <c r="B466" s="150" t="s">
        <v>404</v>
      </c>
      <c r="C466" s="155">
        <v>72</v>
      </c>
      <c r="D466" s="155" t="s">
        <v>328</v>
      </c>
      <c r="E466" s="155" t="s">
        <v>340</v>
      </c>
      <c r="F466" s="156">
        <v>41451</v>
      </c>
      <c r="G466" s="156" t="s">
        <v>311</v>
      </c>
      <c r="H466" s="156" t="s">
        <v>61</v>
      </c>
      <c r="I466" s="157">
        <v>512328.88</v>
      </c>
      <c r="J466" s="160">
        <v>1</v>
      </c>
      <c r="K466" s="159">
        <f>MONTH(Tabela1[[#This Row],[Data da Venda]])</f>
        <v>6</v>
      </c>
      <c r="L466" s="159">
        <f>YEAR(Tabela1[[#This Row],[Data da Venda]])</f>
        <v>2013</v>
      </c>
    </row>
    <row r="467" spans="1:12" ht="15" hidden="1" customHeight="1">
      <c r="A467" s="149" t="s">
        <v>425</v>
      </c>
      <c r="B467" s="150" t="s">
        <v>404</v>
      </c>
      <c r="C467" s="155">
        <v>74</v>
      </c>
      <c r="D467" s="155" t="s">
        <v>328</v>
      </c>
      <c r="E467" s="155" t="s">
        <v>340</v>
      </c>
      <c r="F467" s="156">
        <v>41451</v>
      </c>
      <c r="G467" s="156" t="s">
        <v>302</v>
      </c>
      <c r="H467" s="156" t="s">
        <v>25</v>
      </c>
      <c r="I467" s="157">
        <v>403204.43</v>
      </c>
      <c r="J467" s="158">
        <v>1</v>
      </c>
      <c r="K467" s="159">
        <f>MONTH(Tabela1[[#This Row],[Data da Venda]])</f>
        <v>6</v>
      </c>
      <c r="L467" s="159">
        <f>YEAR(Tabela1[[#This Row],[Data da Venda]])</f>
        <v>2013</v>
      </c>
    </row>
    <row r="468" spans="1:12" ht="15" hidden="1" customHeight="1">
      <c r="A468" s="149" t="s">
        <v>425</v>
      </c>
      <c r="B468" s="150" t="s">
        <v>393</v>
      </c>
      <c r="C468" s="155">
        <v>75</v>
      </c>
      <c r="D468" s="155" t="s">
        <v>328</v>
      </c>
      <c r="E468" s="155" t="s">
        <v>340</v>
      </c>
      <c r="F468" s="156">
        <v>41451</v>
      </c>
      <c r="G468" s="156" t="s">
        <v>282</v>
      </c>
      <c r="H468" s="156" t="s">
        <v>26</v>
      </c>
      <c r="I468" s="157">
        <v>380172.25</v>
      </c>
      <c r="J468" s="158">
        <v>1</v>
      </c>
      <c r="K468" s="159">
        <f>MONTH(Tabela1[[#This Row],[Data da Venda]])</f>
        <v>6</v>
      </c>
      <c r="L468" s="159">
        <f>YEAR(Tabela1[[#This Row],[Data da Venda]])</f>
        <v>2013</v>
      </c>
    </row>
    <row r="469" spans="1:12" ht="15" hidden="1" customHeight="1">
      <c r="A469" s="149" t="s">
        <v>425</v>
      </c>
      <c r="B469" s="150" t="s">
        <v>393</v>
      </c>
      <c r="C469" s="155">
        <v>76</v>
      </c>
      <c r="D469" s="155" t="s">
        <v>328</v>
      </c>
      <c r="E469" s="155" t="s">
        <v>340</v>
      </c>
      <c r="F469" s="156">
        <v>41451</v>
      </c>
      <c r="G469" s="156" t="s">
        <v>282</v>
      </c>
      <c r="H469" s="156" t="s">
        <v>26</v>
      </c>
      <c r="I469" s="157">
        <v>495656.89</v>
      </c>
      <c r="J469" s="158">
        <v>1</v>
      </c>
      <c r="K469" s="159">
        <f>MONTH(Tabela1[[#This Row],[Data da Venda]])</f>
        <v>6</v>
      </c>
      <c r="L469" s="159">
        <f>YEAR(Tabela1[[#This Row],[Data da Venda]])</f>
        <v>2013</v>
      </c>
    </row>
    <row r="470" spans="1:12" ht="15" hidden="1" customHeight="1">
      <c r="A470" s="149" t="s">
        <v>425</v>
      </c>
      <c r="B470" s="150" t="s">
        <v>404</v>
      </c>
      <c r="C470" s="155">
        <v>76</v>
      </c>
      <c r="D470" s="155" t="s">
        <v>328</v>
      </c>
      <c r="E470" s="155" t="s">
        <v>340</v>
      </c>
      <c r="F470" s="156">
        <v>41451</v>
      </c>
      <c r="G470" s="156" t="s">
        <v>295</v>
      </c>
      <c r="H470" s="156" t="s">
        <v>25</v>
      </c>
      <c r="I470" s="157">
        <v>508939.15</v>
      </c>
      <c r="J470" s="160">
        <v>1</v>
      </c>
      <c r="K470" s="159">
        <f>MONTH(Tabela1[[#This Row],[Data da Venda]])</f>
        <v>6</v>
      </c>
      <c r="L470" s="159">
        <f>YEAR(Tabela1[[#This Row],[Data da Venda]])</f>
        <v>2013</v>
      </c>
    </row>
    <row r="471" spans="1:12" ht="15" hidden="1" customHeight="1">
      <c r="A471" s="149" t="s">
        <v>425</v>
      </c>
      <c r="B471" s="150" t="s">
        <v>404</v>
      </c>
      <c r="C471" s="155">
        <v>77</v>
      </c>
      <c r="D471" s="155" t="s">
        <v>328</v>
      </c>
      <c r="E471" s="155" t="s">
        <v>340</v>
      </c>
      <c r="F471" s="156">
        <v>41451</v>
      </c>
      <c r="G471" s="156" t="s">
        <v>276</v>
      </c>
      <c r="H471" s="156" t="s">
        <v>27</v>
      </c>
      <c r="I471" s="157">
        <v>530824.75</v>
      </c>
      <c r="J471" s="160">
        <v>1</v>
      </c>
      <c r="K471" s="159">
        <f>MONTH(Tabela1[[#This Row],[Data da Venda]])</f>
        <v>6</v>
      </c>
      <c r="L471" s="159">
        <f>YEAR(Tabela1[[#This Row],[Data da Venda]])</f>
        <v>2013</v>
      </c>
    </row>
    <row r="472" spans="1:12" ht="15" hidden="1" customHeight="1">
      <c r="A472" s="149" t="s">
        <v>425</v>
      </c>
      <c r="B472" s="150" t="s">
        <v>403</v>
      </c>
      <c r="C472" s="155">
        <v>82</v>
      </c>
      <c r="D472" s="155" t="s">
        <v>328</v>
      </c>
      <c r="E472" s="155" t="s">
        <v>340</v>
      </c>
      <c r="F472" s="156">
        <v>41451</v>
      </c>
      <c r="G472" s="156" t="s">
        <v>206</v>
      </c>
      <c r="H472" s="156" t="s">
        <v>25</v>
      </c>
      <c r="I472" s="157">
        <v>321969.43</v>
      </c>
      <c r="J472" s="158">
        <v>0.5</v>
      </c>
      <c r="K472" s="159">
        <f>MONTH(Tabela1[[#This Row],[Data da Venda]])</f>
        <v>6</v>
      </c>
      <c r="L472" s="159">
        <f>YEAR(Tabela1[[#This Row],[Data da Venda]])</f>
        <v>2013</v>
      </c>
    </row>
    <row r="473" spans="1:12" ht="15" hidden="1" customHeight="1">
      <c r="A473" s="149" t="s">
        <v>425</v>
      </c>
      <c r="B473" s="150" t="s">
        <v>403</v>
      </c>
      <c r="C473" s="155">
        <v>82</v>
      </c>
      <c r="D473" s="155" t="s">
        <v>328</v>
      </c>
      <c r="E473" s="155" t="s">
        <v>340</v>
      </c>
      <c r="F473" s="156">
        <v>41451</v>
      </c>
      <c r="G473" s="156" t="s">
        <v>63</v>
      </c>
      <c r="H473" s="156" t="s">
        <v>25</v>
      </c>
      <c r="I473" s="157">
        <v>321969.43</v>
      </c>
      <c r="J473" s="158">
        <v>0.5</v>
      </c>
      <c r="K473" s="159">
        <f>MONTH(Tabela1[[#This Row],[Data da Venda]])</f>
        <v>6</v>
      </c>
      <c r="L473" s="159">
        <f>YEAR(Tabela1[[#This Row],[Data da Venda]])</f>
        <v>2013</v>
      </c>
    </row>
    <row r="474" spans="1:12" ht="15" hidden="1" customHeight="1">
      <c r="A474" s="149" t="s">
        <v>425</v>
      </c>
      <c r="B474" s="150" t="s">
        <v>393</v>
      </c>
      <c r="C474" s="155">
        <v>82</v>
      </c>
      <c r="D474" s="155" t="s">
        <v>328</v>
      </c>
      <c r="E474" s="155" t="s">
        <v>340</v>
      </c>
      <c r="F474" s="156">
        <v>41451</v>
      </c>
      <c r="G474" s="156" t="s">
        <v>282</v>
      </c>
      <c r="H474" s="156" t="s">
        <v>26</v>
      </c>
      <c r="I474" s="157">
        <v>493500</v>
      </c>
      <c r="J474" s="158">
        <v>1</v>
      </c>
      <c r="K474" s="159">
        <f>MONTH(Tabela1[[#This Row],[Data da Venda]])</f>
        <v>6</v>
      </c>
      <c r="L474" s="159">
        <f>YEAR(Tabela1[[#This Row],[Data da Venda]])</f>
        <v>2013</v>
      </c>
    </row>
    <row r="475" spans="1:12" ht="15" hidden="1" customHeight="1">
      <c r="A475" s="149" t="s">
        <v>425</v>
      </c>
      <c r="B475" s="150" t="s">
        <v>404</v>
      </c>
      <c r="C475" s="155">
        <v>83</v>
      </c>
      <c r="D475" s="155" t="s">
        <v>328</v>
      </c>
      <c r="E475" s="155" t="s">
        <v>340</v>
      </c>
      <c r="F475" s="156">
        <v>41451</v>
      </c>
      <c r="G475" s="156" t="s">
        <v>59</v>
      </c>
      <c r="H475" s="156" t="s">
        <v>25</v>
      </c>
      <c r="I475" s="157">
        <v>524761.81000000006</v>
      </c>
      <c r="J475" s="160">
        <v>1</v>
      </c>
      <c r="K475" s="159">
        <f>MONTH(Tabela1[[#This Row],[Data da Venda]])</f>
        <v>6</v>
      </c>
      <c r="L475" s="159">
        <f>YEAR(Tabela1[[#This Row],[Data da Venda]])</f>
        <v>2013</v>
      </c>
    </row>
    <row r="476" spans="1:12" ht="15" hidden="1" customHeight="1">
      <c r="A476" s="149" t="s">
        <v>425</v>
      </c>
      <c r="B476" s="150" t="s">
        <v>403</v>
      </c>
      <c r="C476" s="155">
        <v>83</v>
      </c>
      <c r="D476" s="155" t="s">
        <v>329</v>
      </c>
      <c r="E476" s="155" t="s">
        <v>340</v>
      </c>
      <c r="F476" s="156">
        <v>41451</v>
      </c>
      <c r="G476" s="156" t="s">
        <v>465</v>
      </c>
      <c r="H476" s="156" t="s">
        <v>33</v>
      </c>
      <c r="I476" s="157">
        <v>669289.18000000005</v>
      </c>
      <c r="J476" s="158">
        <v>1</v>
      </c>
      <c r="K476" s="159">
        <f>MONTH(Tabela1[[#This Row],[Data da Venda]])</f>
        <v>6</v>
      </c>
      <c r="L476" s="159">
        <f>YEAR(Tabela1[[#This Row],[Data da Venda]])</f>
        <v>2013</v>
      </c>
    </row>
    <row r="477" spans="1:12" ht="15" hidden="1" customHeight="1">
      <c r="A477" s="149" t="s">
        <v>425</v>
      </c>
      <c r="B477" s="150" t="s">
        <v>404</v>
      </c>
      <c r="C477" s="155">
        <v>85</v>
      </c>
      <c r="D477" s="155" t="s">
        <v>328</v>
      </c>
      <c r="E477" s="155" t="s">
        <v>340</v>
      </c>
      <c r="F477" s="156">
        <v>41451</v>
      </c>
      <c r="G477" s="156" t="s">
        <v>84</v>
      </c>
      <c r="H477" s="156" t="s">
        <v>61</v>
      </c>
      <c r="I477" s="157">
        <v>398919.4</v>
      </c>
      <c r="J477" s="160">
        <v>1</v>
      </c>
      <c r="K477" s="159">
        <f>MONTH(Tabela1[[#This Row],[Data da Venda]])</f>
        <v>6</v>
      </c>
      <c r="L477" s="159">
        <f>YEAR(Tabela1[[#This Row],[Data da Venda]])</f>
        <v>2013</v>
      </c>
    </row>
    <row r="478" spans="1:12" ht="15" hidden="1" customHeight="1">
      <c r="A478" s="149" t="s">
        <v>425</v>
      </c>
      <c r="B478" s="150" t="s">
        <v>393</v>
      </c>
      <c r="C478" s="155">
        <v>87</v>
      </c>
      <c r="D478" s="155" t="s">
        <v>328</v>
      </c>
      <c r="E478" s="155" t="s">
        <v>340</v>
      </c>
      <c r="F478" s="156">
        <v>41451</v>
      </c>
      <c r="G478" s="156" t="s">
        <v>55</v>
      </c>
      <c r="H478" s="156" t="s">
        <v>24</v>
      </c>
      <c r="I478" s="157">
        <v>482818.43</v>
      </c>
      <c r="J478" s="158">
        <v>1</v>
      </c>
      <c r="K478" s="159">
        <f>MONTH(Tabela1[[#This Row],[Data da Venda]])</f>
        <v>6</v>
      </c>
      <c r="L478" s="159">
        <f>YEAR(Tabela1[[#This Row],[Data da Venda]])</f>
        <v>2013</v>
      </c>
    </row>
    <row r="479" spans="1:12" ht="15" hidden="1" customHeight="1">
      <c r="A479" s="149" t="s">
        <v>425</v>
      </c>
      <c r="B479" s="150" t="s">
        <v>404</v>
      </c>
      <c r="C479" s="155">
        <v>87</v>
      </c>
      <c r="D479" s="155" t="s">
        <v>329</v>
      </c>
      <c r="E479" s="155" t="s">
        <v>340</v>
      </c>
      <c r="F479" s="156">
        <v>41451</v>
      </c>
      <c r="G479" s="156" t="s">
        <v>337</v>
      </c>
      <c r="H479" s="156" t="s">
        <v>33</v>
      </c>
      <c r="I479" s="157">
        <v>262115.65</v>
      </c>
      <c r="J479" s="158">
        <v>0.5</v>
      </c>
      <c r="K479" s="159">
        <f>MONTH(Tabela1[[#This Row],[Data da Venda]])</f>
        <v>6</v>
      </c>
      <c r="L479" s="159">
        <f>YEAR(Tabela1[[#This Row],[Data da Venda]])</f>
        <v>2013</v>
      </c>
    </row>
    <row r="480" spans="1:12" ht="15" hidden="1" customHeight="1">
      <c r="A480" s="149" t="s">
        <v>425</v>
      </c>
      <c r="B480" s="150" t="s">
        <v>404</v>
      </c>
      <c r="C480" s="155">
        <v>87</v>
      </c>
      <c r="D480" s="155" t="s">
        <v>328</v>
      </c>
      <c r="E480" s="155" t="s">
        <v>340</v>
      </c>
      <c r="F480" s="156">
        <v>41451</v>
      </c>
      <c r="G480" s="156" t="s">
        <v>290</v>
      </c>
      <c r="H480" s="156" t="s">
        <v>61</v>
      </c>
      <c r="I480" s="157">
        <v>262115.65</v>
      </c>
      <c r="J480" s="158">
        <v>0.5</v>
      </c>
      <c r="K480" s="159">
        <f>MONTH(Tabela1[[#This Row],[Data da Venda]])</f>
        <v>6</v>
      </c>
      <c r="L480" s="159">
        <f>YEAR(Tabela1[[#This Row],[Data da Venda]])</f>
        <v>2013</v>
      </c>
    </row>
    <row r="481" spans="1:12" ht="15" hidden="1" customHeight="1">
      <c r="A481" s="149" t="s">
        <v>425</v>
      </c>
      <c r="B481" s="150" t="s">
        <v>201</v>
      </c>
      <c r="C481" s="155" t="s">
        <v>448</v>
      </c>
      <c r="D481" s="155" t="s">
        <v>328</v>
      </c>
      <c r="E481" s="155" t="s">
        <v>340</v>
      </c>
      <c r="F481" s="156">
        <v>41451</v>
      </c>
      <c r="G481" s="156" t="s">
        <v>302</v>
      </c>
      <c r="H481" s="156" t="s">
        <v>25</v>
      </c>
      <c r="I481" s="157">
        <v>30000</v>
      </c>
      <c r="J481" s="160">
        <v>1</v>
      </c>
      <c r="K481" s="159">
        <f>MONTH(Tabela1[[#This Row],[Data da Venda]])</f>
        <v>6</v>
      </c>
      <c r="L481" s="159">
        <f>YEAR(Tabela1[[#This Row],[Data da Venda]])</f>
        <v>2013</v>
      </c>
    </row>
    <row r="482" spans="1:12" ht="15" hidden="1" customHeight="1">
      <c r="A482" s="149" t="s">
        <v>425</v>
      </c>
      <c r="B482" s="150" t="s">
        <v>201</v>
      </c>
      <c r="C482" s="155" t="s">
        <v>449</v>
      </c>
      <c r="D482" s="155" t="s">
        <v>328</v>
      </c>
      <c r="E482" s="155" t="s">
        <v>340</v>
      </c>
      <c r="F482" s="156">
        <v>41451</v>
      </c>
      <c r="G482" s="156" t="s">
        <v>295</v>
      </c>
      <c r="H482" s="156" t="s">
        <v>25</v>
      </c>
      <c r="I482" s="157">
        <v>13558.87</v>
      </c>
      <c r="J482" s="160">
        <v>0.5</v>
      </c>
      <c r="K482" s="159">
        <f>MONTH(Tabela1[[#This Row],[Data da Venda]])</f>
        <v>6</v>
      </c>
      <c r="L482" s="159">
        <f>YEAR(Tabela1[[#This Row],[Data da Venda]])</f>
        <v>2013</v>
      </c>
    </row>
    <row r="483" spans="1:12" ht="15" hidden="1" customHeight="1">
      <c r="A483" s="149" t="s">
        <v>425</v>
      </c>
      <c r="B483" s="150" t="s">
        <v>201</v>
      </c>
      <c r="C483" s="155" t="s">
        <v>449</v>
      </c>
      <c r="D483" s="155" t="s">
        <v>328</v>
      </c>
      <c r="E483" s="155" t="s">
        <v>340</v>
      </c>
      <c r="F483" s="156">
        <v>41451</v>
      </c>
      <c r="G483" s="156" t="s">
        <v>292</v>
      </c>
      <c r="H483" s="156" t="s">
        <v>23</v>
      </c>
      <c r="I483" s="157">
        <v>13558.87</v>
      </c>
      <c r="J483" s="160">
        <v>0.5</v>
      </c>
      <c r="K483" s="159">
        <f>MONTH(Tabela1[[#This Row],[Data da Venda]])</f>
        <v>6</v>
      </c>
      <c r="L483" s="159">
        <f>YEAR(Tabela1[[#This Row],[Data da Venda]])</f>
        <v>2013</v>
      </c>
    </row>
    <row r="484" spans="1:12" ht="15" hidden="1" customHeight="1">
      <c r="A484" s="149" t="s">
        <v>425</v>
      </c>
      <c r="B484" s="150" t="s">
        <v>201</v>
      </c>
      <c r="C484" s="155" t="s">
        <v>450</v>
      </c>
      <c r="D484" s="155" t="s">
        <v>328</v>
      </c>
      <c r="E484" s="155" t="s">
        <v>340</v>
      </c>
      <c r="F484" s="156">
        <v>41451</v>
      </c>
      <c r="G484" s="156" t="s">
        <v>292</v>
      </c>
      <c r="H484" s="156" t="s">
        <v>23</v>
      </c>
      <c r="I484" s="157">
        <v>30073.439999999999</v>
      </c>
      <c r="J484" s="160">
        <v>1</v>
      </c>
      <c r="K484" s="159">
        <f>MONTH(Tabela1[[#This Row],[Data da Venda]])</f>
        <v>6</v>
      </c>
      <c r="L484" s="159">
        <f>YEAR(Tabela1[[#This Row],[Data da Venda]])</f>
        <v>2013</v>
      </c>
    </row>
    <row r="485" spans="1:12" ht="15" hidden="1" customHeight="1">
      <c r="A485" s="149" t="s">
        <v>425</v>
      </c>
      <c r="B485" s="150" t="s">
        <v>393</v>
      </c>
      <c r="C485" s="155">
        <v>13</v>
      </c>
      <c r="D485" s="155" t="s">
        <v>328</v>
      </c>
      <c r="E485" s="155" t="s">
        <v>340</v>
      </c>
      <c r="F485" s="156">
        <v>41452</v>
      </c>
      <c r="G485" s="156" t="s">
        <v>298</v>
      </c>
      <c r="H485" s="156" t="s">
        <v>23</v>
      </c>
      <c r="I485" s="157">
        <v>222914.63</v>
      </c>
      <c r="J485" s="160">
        <v>0.5</v>
      </c>
      <c r="K485" s="159">
        <f>MONTH(Tabela1[[#This Row],[Data da Venda]])</f>
        <v>6</v>
      </c>
      <c r="L485" s="159">
        <f>YEAR(Tabela1[[#This Row],[Data da Venda]])</f>
        <v>2013</v>
      </c>
    </row>
    <row r="486" spans="1:12" ht="15" hidden="1" customHeight="1">
      <c r="A486" s="149" t="s">
        <v>425</v>
      </c>
      <c r="B486" s="150" t="s">
        <v>393</v>
      </c>
      <c r="C486" s="155">
        <v>13</v>
      </c>
      <c r="D486" s="155" t="s">
        <v>329</v>
      </c>
      <c r="E486" s="155" t="s">
        <v>340</v>
      </c>
      <c r="F486" s="156">
        <v>41452</v>
      </c>
      <c r="G486" s="156" t="s">
        <v>465</v>
      </c>
      <c r="H486" s="156" t="s">
        <v>33</v>
      </c>
      <c r="I486" s="157">
        <v>222914.63</v>
      </c>
      <c r="J486" s="160">
        <v>0.5</v>
      </c>
      <c r="K486" s="159">
        <f>MONTH(Tabela1[[#This Row],[Data da Venda]])</f>
        <v>6</v>
      </c>
      <c r="L486" s="159">
        <f>YEAR(Tabela1[[#This Row],[Data da Venda]])</f>
        <v>2013</v>
      </c>
    </row>
    <row r="487" spans="1:12" ht="15" hidden="1" customHeight="1">
      <c r="A487" s="149" t="s">
        <v>425</v>
      </c>
      <c r="B487" s="150" t="s">
        <v>393</v>
      </c>
      <c r="C487" s="155">
        <v>24</v>
      </c>
      <c r="D487" s="155" t="s">
        <v>328</v>
      </c>
      <c r="E487" s="155" t="s">
        <v>340</v>
      </c>
      <c r="F487" s="156">
        <v>41452</v>
      </c>
      <c r="G487" s="156" t="s">
        <v>280</v>
      </c>
      <c r="H487" s="156" t="s">
        <v>79</v>
      </c>
      <c r="I487" s="157">
        <v>331050</v>
      </c>
      <c r="J487" s="160">
        <v>1</v>
      </c>
      <c r="K487" s="159">
        <f>MONTH(Tabela1[[#This Row],[Data da Venda]])</f>
        <v>6</v>
      </c>
      <c r="L487" s="159">
        <f>YEAR(Tabela1[[#This Row],[Data da Venda]])</f>
        <v>2013</v>
      </c>
    </row>
    <row r="488" spans="1:12" ht="15" hidden="1" customHeight="1">
      <c r="A488" s="149" t="s">
        <v>89</v>
      </c>
      <c r="B488" s="150" t="s">
        <v>426</v>
      </c>
      <c r="C488" s="155">
        <v>131</v>
      </c>
      <c r="D488" s="155" t="s">
        <v>328</v>
      </c>
      <c r="E488" s="155" t="s">
        <v>339</v>
      </c>
      <c r="F488" s="156">
        <v>41452</v>
      </c>
      <c r="G488" s="156" t="s">
        <v>52</v>
      </c>
      <c r="H488" s="156" t="s">
        <v>26</v>
      </c>
      <c r="I488" s="157">
        <v>2300000</v>
      </c>
      <c r="J488" s="158">
        <v>1</v>
      </c>
      <c r="K488" s="159">
        <f>MONTH(Tabela1[[#This Row],[Data da Venda]])</f>
        <v>6</v>
      </c>
      <c r="L488" s="159">
        <f>YEAR(Tabela1[[#This Row],[Data da Venda]])</f>
        <v>2013</v>
      </c>
    </row>
    <row r="489" spans="1:12" ht="15" hidden="1" customHeight="1">
      <c r="A489" s="149" t="s">
        <v>425</v>
      </c>
      <c r="B489" s="150" t="s">
        <v>404</v>
      </c>
      <c r="C489" s="155">
        <v>32</v>
      </c>
      <c r="D489" s="155" t="s">
        <v>328</v>
      </c>
      <c r="E489" s="155" t="s">
        <v>340</v>
      </c>
      <c r="F489" s="156">
        <v>41452</v>
      </c>
      <c r="G489" s="156" t="s">
        <v>307</v>
      </c>
      <c r="H489" s="156" t="s">
        <v>24</v>
      </c>
      <c r="I489" s="157">
        <v>222470.45</v>
      </c>
      <c r="J489" s="158">
        <v>0.5</v>
      </c>
      <c r="K489" s="159">
        <f>MONTH(Tabela1[[#This Row],[Data da Venda]])</f>
        <v>6</v>
      </c>
      <c r="L489" s="159">
        <f>YEAR(Tabela1[[#This Row],[Data da Venda]])</f>
        <v>2013</v>
      </c>
    </row>
    <row r="490" spans="1:12" ht="15" hidden="1" customHeight="1">
      <c r="A490" s="149" t="s">
        <v>425</v>
      </c>
      <c r="B490" s="150" t="s">
        <v>404</v>
      </c>
      <c r="C490" s="155">
        <v>32</v>
      </c>
      <c r="D490" s="155" t="s">
        <v>328</v>
      </c>
      <c r="E490" s="155" t="s">
        <v>340</v>
      </c>
      <c r="F490" s="156">
        <v>41452</v>
      </c>
      <c r="G490" s="156" t="s">
        <v>55</v>
      </c>
      <c r="H490" s="156" t="s">
        <v>24</v>
      </c>
      <c r="I490" s="157">
        <v>222470.45</v>
      </c>
      <c r="J490" s="158">
        <v>0.5</v>
      </c>
      <c r="K490" s="159">
        <f>MONTH(Tabela1[[#This Row],[Data da Venda]])</f>
        <v>6</v>
      </c>
      <c r="L490" s="159">
        <f>YEAR(Tabela1[[#This Row],[Data da Venda]])</f>
        <v>2013</v>
      </c>
    </row>
    <row r="491" spans="1:12" ht="15" hidden="1" customHeight="1">
      <c r="A491" s="149" t="s">
        <v>425</v>
      </c>
      <c r="B491" s="150" t="s">
        <v>393</v>
      </c>
      <c r="C491" s="155">
        <v>42</v>
      </c>
      <c r="D491" s="155" t="s">
        <v>328</v>
      </c>
      <c r="E491" s="155" t="s">
        <v>340</v>
      </c>
      <c r="F491" s="156">
        <v>41452</v>
      </c>
      <c r="G491" s="156" t="s">
        <v>283</v>
      </c>
      <c r="H491" s="156" t="s">
        <v>26</v>
      </c>
      <c r="I491" s="157">
        <v>440740.51</v>
      </c>
      <c r="J491" s="158">
        <v>1</v>
      </c>
      <c r="K491" s="159">
        <f>MONTH(Tabela1[[#This Row],[Data da Venda]])</f>
        <v>6</v>
      </c>
      <c r="L491" s="159">
        <f>YEAR(Tabela1[[#This Row],[Data da Venda]])</f>
        <v>2013</v>
      </c>
    </row>
    <row r="492" spans="1:12" ht="15" hidden="1" customHeight="1">
      <c r="A492" s="149" t="s">
        <v>425</v>
      </c>
      <c r="B492" s="150" t="s">
        <v>398</v>
      </c>
      <c r="C492" s="155">
        <v>51</v>
      </c>
      <c r="D492" s="155" t="s">
        <v>328</v>
      </c>
      <c r="E492" s="155" t="s">
        <v>340</v>
      </c>
      <c r="F492" s="156">
        <v>41452</v>
      </c>
      <c r="G492" s="156" t="s">
        <v>281</v>
      </c>
      <c r="H492" s="156" t="s">
        <v>79</v>
      </c>
      <c r="I492" s="157">
        <v>645227.11</v>
      </c>
      <c r="J492" s="160">
        <v>1</v>
      </c>
      <c r="K492" s="159">
        <f>MONTH(Tabela1[[#This Row],[Data da Venda]])</f>
        <v>6</v>
      </c>
      <c r="L492" s="159">
        <f>YEAR(Tabela1[[#This Row],[Data da Venda]])</f>
        <v>2013</v>
      </c>
    </row>
    <row r="493" spans="1:12" ht="15" hidden="1" customHeight="1">
      <c r="A493" s="149" t="s">
        <v>425</v>
      </c>
      <c r="B493" s="150" t="s">
        <v>404</v>
      </c>
      <c r="C493" s="155">
        <v>52</v>
      </c>
      <c r="D493" s="155" t="s">
        <v>328</v>
      </c>
      <c r="E493" s="155" t="s">
        <v>340</v>
      </c>
      <c r="F493" s="156">
        <v>41452</v>
      </c>
      <c r="G493" s="156" t="s">
        <v>281</v>
      </c>
      <c r="H493" s="156" t="s">
        <v>79</v>
      </c>
      <c r="I493" s="157">
        <v>496338.32</v>
      </c>
      <c r="J493" s="160">
        <v>1</v>
      </c>
      <c r="K493" s="159">
        <f>MONTH(Tabela1[[#This Row],[Data da Venda]])</f>
        <v>6</v>
      </c>
      <c r="L493" s="159">
        <f>YEAR(Tabela1[[#This Row],[Data da Venda]])</f>
        <v>2013</v>
      </c>
    </row>
    <row r="494" spans="1:12" ht="15" hidden="1" customHeight="1">
      <c r="A494" s="149" t="s">
        <v>425</v>
      </c>
      <c r="B494" s="150" t="s">
        <v>404</v>
      </c>
      <c r="C494" s="155">
        <v>54</v>
      </c>
      <c r="D494" s="155" t="s">
        <v>329</v>
      </c>
      <c r="E494" s="155" t="s">
        <v>340</v>
      </c>
      <c r="F494" s="156">
        <v>41452</v>
      </c>
      <c r="G494" s="156" t="s">
        <v>337</v>
      </c>
      <c r="H494" s="156" t="s">
        <v>33</v>
      </c>
      <c r="I494" s="157">
        <v>393628.07</v>
      </c>
      <c r="J494" s="160">
        <v>1</v>
      </c>
      <c r="K494" s="159">
        <f>MONTH(Tabela1[[#This Row],[Data da Venda]])</f>
        <v>6</v>
      </c>
      <c r="L494" s="159">
        <f>YEAR(Tabela1[[#This Row],[Data da Venda]])</f>
        <v>2013</v>
      </c>
    </row>
    <row r="495" spans="1:12" ht="15" hidden="1" customHeight="1">
      <c r="A495" s="149" t="s">
        <v>425</v>
      </c>
      <c r="B495" s="150" t="s">
        <v>404</v>
      </c>
      <c r="C495" s="155">
        <v>58</v>
      </c>
      <c r="D495" s="155" t="s">
        <v>328</v>
      </c>
      <c r="E495" s="155" t="s">
        <v>340</v>
      </c>
      <c r="F495" s="156">
        <v>41452</v>
      </c>
      <c r="G495" s="156" t="s">
        <v>302</v>
      </c>
      <c r="H495" s="156" t="s">
        <v>25</v>
      </c>
      <c r="I495" s="157">
        <v>381473</v>
      </c>
      <c r="J495" s="160">
        <v>1</v>
      </c>
      <c r="K495" s="159">
        <f>MONTH(Tabela1[[#This Row],[Data da Venda]])</f>
        <v>6</v>
      </c>
      <c r="L495" s="159">
        <f>YEAR(Tabela1[[#This Row],[Data da Venda]])</f>
        <v>2013</v>
      </c>
    </row>
    <row r="496" spans="1:12" ht="15" hidden="1" customHeight="1">
      <c r="A496" s="149" t="s">
        <v>425</v>
      </c>
      <c r="B496" s="150" t="s">
        <v>393</v>
      </c>
      <c r="C496" s="155">
        <v>68</v>
      </c>
      <c r="D496" s="155" t="s">
        <v>328</v>
      </c>
      <c r="E496" s="155" t="s">
        <v>340</v>
      </c>
      <c r="F496" s="156">
        <v>41452</v>
      </c>
      <c r="G496" s="156" t="s">
        <v>198</v>
      </c>
      <c r="H496" s="156" t="s">
        <v>23</v>
      </c>
      <c r="I496" s="157">
        <v>367594.19</v>
      </c>
      <c r="J496" s="160">
        <v>1</v>
      </c>
      <c r="K496" s="159">
        <f>MONTH(Tabela1[[#This Row],[Data da Venda]])</f>
        <v>6</v>
      </c>
      <c r="L496" s="159">
        <f>YEAR(Tabela1[[#This Row],[Data da Venda]])</f>
        <v>2013</v>
      </c>
    </row>
    <row r="497" spans="1:12" ht="15" hidden="1" customHeight="1">
      <c r="A497" s="149" t="s">
        <v>415</v>
      </c>
      <c r="B497" s="150" t="s">
        <v>416</v>
      </c>
      <c r="C497" s="155">
        <v>1716</v>
      </c>
      <c r="D497" s="155" t="s">
        <v>329</v>
      </c>
      <c r="E497" s="155" t="s">
        <v>340</v>
      </c>
      <c r="F497" s="156">
        <v>41453</v>
      </c>
      <c r="G497" s="156" t="s">
        <v>465</v>
      </c>
      <c r="H497" s="156" t="s">
        <v>33</v>
      </c>
      <c r="I497" s="157">
        <v>405170.97</v>
      </c>
      <c r="J497" s="158">
        <v>1</v>
      </c>
      <c r="K497" s="159">
        <f>MONTH(Tabela1[[#This Row],[Data da Venda]])</f>
        <v>6</v>
      </c>
      <c r="L497" s="159">
        <f>YEAR(Tabela1[[#This Row],[Data da Venda]])</f>
        <v>2013</v>
      </c>
    </row>
    <row r="498" spans="1:12" ht="15" hidden="1" customHeight="1">
      <c r="A498" s="149" t="s">
        <v>432</v>
      </c>
      <c r="B498" s="150" t="s">
        <v>406</v>
      </c>
      <c r="C498" s="155">
        <v>35</v>
      </c>
      <c r="D498" s="155" t="s">
        <v>329</v>
      </c>
      <c r="E498" s="155" t="s">
        <v>339</v>
      </c>
      <c r="F498" s="156">
        <v>41453</v>
      </c>
      <c r="G498" s="156" t="s">
        <v>463</v>
      </c>
      <c r="H498" s="156" t="s">
        <v>33</v>
      </c>
      <c r="I498" s="157">
        <v>222333.29</v>
      </c>
      <c r="J498" s="158">
        <v>1</v>
      </c>
      <c r="K498" s="159">
        <f>MONTH(Tabela1[[#This Row],[Data da Venda]])</f>
        <v>6</v>
      </c>
      <c r="L498" s="159">
        <f>YEAR(Tabela1[[#This Row],[Data da Venda]])</f>
        <v>2013</v>
      </c>
    </row>
    <row r="499" spans="1:12" ht="15" hidden="1" customHeight="1">
      <c r="A499" s="151" t="s">
        <v>81</v>
      </c>
      <c r="B499" s="150" t="s">
        <v>446</v>
      </c>
      <c r="C499" s="155">
        <v>101</v>
      </c>
      <c r="D499" s="155" t="s">
        <v>328</v>
      </c>
      <c r="E499" s="155" t="s">
        <v>339</v>
      </c>
      <c r="F499" s="156">
        <v>41453</v>
      </c>
      <c r="G499" s="156" t="s">
        <v>266</v>
      </c>
      <c r="H499" s="156" t="s">
        <v>24</v>
      </c>
      <c r="I499" s="157">
        <v>507180</v>
      </c>
      <c r="J499" s="160">
        <v>1</v>
      </c>
      <c r="K499" s="159">
        <f>MONTH(Tabela1[[#This Row],[Data da Venda]])</f>
        <v>6</v>
      </c>
      <c r="L499" s="159">
        <f>YEAR(Tabela1[[#This Row],[Data da Venda]])</f>
        <v>2013</v>
      </c>
    </row>
    <row r="500" spans="1:12" ht="15" hidden="1" customHeight="1">
      <c r="A500" s="151" t="s">
        <v>81</v>
      </c>
      <c r="B500" s="150" t="s">
        <v>446</v>
      </c>
      <c r="C500" s="155">
        <v>131</v>
      </c>
      <c r="D500" s="155" t="s">
        <v>328</v>
      </c>
      <c r="E500" s="155" t="s">
        <v>339</v>
      </c>
      <c r="F500" s="156">
        <v>41453</v>
      </c>
      <c r="G500" s="156" t="s">
        <v>266</v>
      </c>
      <c r="H500" s="156" t="s">
        <v>24</v>
      </c>
      <c r="I500" s="157">
        <v>517661</v>
      </c>
      <c r="J500" s="160">
        <v>1</v>
      </c>
      <c r="K500" s="159">
        <f>MONTH(Tabela1[[#This Row],[Data da Venda]])</f>
        <v>6</v>
      </c>
      <c r="L500" s="159">
        <f>YEAR(Tabela1[[#This Row],[Data da Venda]])</f>
        <v>2013</v>
      </c>
    </row>
    <row r="501" spans="1:12" ht="15" hidden="1" customHeight="1">
      <c r="A501" s="149" t="s">
        <v>425</v>
      </c>
      <c r="B501" s="150" t="s">
        <v>398</v>
      </c>
      <c r="C501" s="155">
        <v>33</v>
      </c>
      <c r="D501" s="155" t="s">
        <v>328</v>
      </c>
      <c r="E501" s="155" t="s">
        <v>340</v>
      </c>
      <c r="F501" s="156">
        <v>41453</v>
      </c>
      <c r="G501" s="156" t="s">
        <v>59</v>
      </c>
      <c r="H501" s="156" t="s">
        <v>25</v>
      </c>
      <c r="I501" s="157">
        <v>590773.03</v>
      </c>
      <c r="J501" s="160">
        <v>1</v>
      </c>
      <c r="K501" s="159">
        <f>MONTH(Tabela1[[#This Row],[Data da Venda]])</f>
        <v>6</v>
      </c>
      <c r="L501" s="159">
        <f>YEAR(Tabela1[[#This Row],[Data da Venda]])</f>
        <v>2013</v>
      </c>
    </row>
    <row r="502" spans="1:12" ht="15" hidden="1" customHeight="1">
      <c r="A502" s="149" t="s">
        <v>425</v>
      </c>
      <c r="B502" s="150" t="s">
        <v>398</v>
      </c>
      <c r="C502" s="155">
        <v>83</v>
      </c>
      <c r="D502" s="155" t="s">
        <v>328</v>
      </c>
      <c r="E502" s="155" t="s">
        <v>340</v>
      </c>
      <c r="F502" s="156">
        <v>41453</v>
      </c>
      <c r="G502" s="156" t="s">
        <v>307</v>
      </c>
      <c r="H502" s="156" t="s">
        <v>24</v>
      </c>
      <c r="I502" s="157">
        <v>648210.23</v>
      </c>
      <c r="J502" s="158">
        <v>1</v>
      </c>
      <c r="K502" s="159">
        <f>MONTH(Tabela1[[#This Row],[Data da Venda]])</f>
        <v>6</v>
      </c>
      <c r="L502" s="159">
        <f>YEAR(Tabela1[[#This Row],[Data da Venda]])</f>
        <v>2013</v>
      </c>
    </row>
    <row r="503" spans="1:12" ht="15" hidden="1" customHeight="1">
      <c r="A503" s="149" t="s">
        <v>415</v>
      </c>
      <c r="B503" s="150" t="s">
        <v>416</v>
      </c>
      <c r="C503" s="155">
        <v>815</v>
      </c>
      <c r="D503" s="155" t="s">
        <v>328</v>
      </c>
      <c r="E503" s="155" t="s">
        <v>340</v>
      </c>
      <c r="F503" s="156">
        <v>41455</v>
      </c>
      <c r="G503" s="156" t="s">
        <v>179</v>
      </c>
      <c r="H503" s="156" t="s">
        <v>61</v>
      </c>
      <c r="I503" s="157">
        <v>381400</v>
      </c>
      <c r="J503" s="160">
        <v>1</v>
      </c>
      <c r="K503" s="159">
        <f>MONTH(Tabela1[[#This Row],[Data da Venda]])</f>
        <v>6</v>
      </c>
      <c r="L503" s="159">
        <f>YEAR(Tabela1[[#This Row],[Data da Venda]])</f>
        <v>2013</v>
      </c>
    </row>
    <row r="504" spans="1:12" ht="15" hidden="1" customHeight="1">
      <c r="A504" s="149" t="s">
        <v>425</v>
      </c>
      <c r="B504" s="150" t="s">
        <v>404</v>
      </c>
      <c r="C504" s="155">
        <v>2</v>
      </c>
      <c r="D504" s="155" t="s">
        <v>328</v>
      </c>
      <c r="E504" s="155" t="s">
        <v>340</v>
      </c>
      <c r="F504" s="156">
        <v>41455</v>
      </c>
      <c r="G504" s="156" t="s">
        <v>196</v>
      </c>
      <c r="H504" s="156" t="s">
        <v>24</v>
      </c>
      <c r="I504" s="157">
        <v>243425</v>
      </c>
      <c r="J504" s="158">
        <v>0.5</v>
      </c>
      <c r="K504" s="159">
        <f>MONTH(Tabela1[[#This Row],[Data da Venda]])</f>
        <v>6</v>
      </c>
      <c r="L504" s="159">
        <f>YEAR(Tabela1[[#This Row],[Data da Venda]])</f>
        <v>2013</v>
      </c>
    </row>
    <row r="505" spans="1:12" ht="15" hidden="1" customHeight="1">
      <c r="A505" s="149" t="s">
        <v>425</v>
      </c>
      <c r="B505" s="150" t="s">
        <v>404</v>
      </c>
      <c r="C505" s="155">
        <v>2</v>
      </c>
      <c r="D505" s="155" t="s">
        <v>328</v>
      </c>
      <c r="E505" s="155" t="s">
        <v>340</v>
      </c>
      <c r="F505" s="156">
        <v>41455</v>
      </c>
      <c r="G505" s="156" t="s">
        <v>237</v>
      </c>
      <c r="H505" s="156" t="s">
        <v>27</v>
      </c>
      <c r="I505" s="157">
        <v>243425</v>
      </c>
      <c r="J505" s="158">
        <v>0.5</v>
      </c>
      <c r="K505" s="159">
        <f>MONTH(Tabela1[[#This Row],[Data da Venda]])</f>
        <v>6</v>
      </c>
      <c r="L505" s="159">
        <f>YEAR(Tabela1[[#This Row],[Data da Venda]])</f>
        <v>2013</v>
      </c>
    </row>
    <row r="506" spans="1:12" ht="15" hidden="1" customHeight="1">
      <c r="A506" s="149" t="s">
        <v>425</v>
      </c>
      <c r="B506" s="150" t="s">
        <v>404</v>
      </c>
      <c r="C506" s="155">
        <v>5</v>
      </c>
      <c r="D506" s="155" t="s">
        <v>328</v>
      </c>
      <c r="E506" s="155" t="s">
        <v>340</v>
      </c>
      <c r="F506" s="156">
        <v>41455</v>
      </c>
      <c r="G506" s="156" t="s">
        <v>277</v>
      </c>
      <c r="H506" s="156" t="s">
        <v>79</v>
      </c>
      <c r="I506" s="157">
        <v>385819.99</v>
      </c>
      <c r="J506" s="160">
        <v>1</v>
      </c>
      <c r="K506" s="159">
        <f>MONTH(Tabela1[[#This Row],[Data da Venda]])</f>
        <v>6</v>
      </c>
      <c r="L506" s="159">
        <f>YEAR(Tabela1[[#This Row],[Data da Venda]])</f>
        <v>2013</v>
      </c>
    </row>
    <row r="507" spans="1:12" ht="15" hidden="1" customHeight="1">
      <c r="A507" s="149" t="s">
        <v>425</v>
      </c>
      <c r="B507" s="150" t="s">
        <v>404</v>
      </c>
      <c r="C507" s="155">
        <v>18</v>
      </c>
      <c r="D507" s="155" t="s">
        <v>328</v>
      </c>
      <c r="E507" s="155" t="s">
        <v>340</v>
      </c>
      <c r="F507" s="156">
        <v>41455</v>
      </c>
      <c r="G507" s="156" t="s">
        <v>291</v>
      </c>
      <c r="H507" s="156" t="s">
        <v>61</v>
      </c>
      <c r="I507" s="157">
        <v>375702</v>
      </c>
      <c r="J507" s="160">
        <v>1</v>
      </c>
      <c r="K507" s="159">
        <f>MONTH(Tabela1[[#This Row],[Data da Venda]])</f>
        <v>6</v>
      </c>
      <c r="L507" s="159">
        <f>YEAR(Tabela1[[#This Row],[Data da Venda]])</f>
        <v>2013</v>
      </c>
    </row>
    <row r="508" spans="1:12" ht="15" hidden="1" customHeight="1">
      <c r="A508" s="149" t="s">
        <v>425</v>
      </c>
      <c r="B508" s="150" t="s">
        <v>403</v>
      </c>
      <c r="C508" s="155">
        <v>22</v>
      </c>
      <c r="D508" s="155" t="s">
        <v>328</v>
      </c>
      <c r="E508" s="155" t="s">
        <v>340</v>
      </c>
      <c r="F508" s="156">
        <v>41455</v>
      </c>
      <c r="G508" s="156" t="s">
        <v>279</v>
      </c>
      <c r="H508" s="156" t="s">
        <v>79</v>
      </c>
      <c r="I508" s="157">
        <v>638796</v>
      </c>
      <c r="J508" s="160">
        <v>1</v>
      </c>
      <c r="K508" s="159">
        <f>MONTH(Tabela1[[#This Row],[Data da Venda]])</f>
        <v>6</v>
      </c>
      <c r="L508" s="159">
        <f>YEAR(Tabela1[[#This Row],[Data da Venda]])</f>
        <v>2013</v>
      </c>
    </row>
    <row r="509" spans="1:12" ht="15" hidden="1" customHeight="1">
      <c r="A509" s="149" t="s">
        <v>425</v>
      </c>
      <c r="B509" s="150" t="s">
        <v>398</v>
      </c>
      <c r="C509" s="155">
        <v>23</v>
      </c>
      <c r="D509" s="155" t="s">
        <v>328</v>
      </c>
      <c r="E509" s="155" t="s">
        <v>340</v>
      </c>
      <c r="F509" s="156">
        <v>41455</v>
      </c>
      <c r="G509" s="155" t="s">
        <v>19</v>
      </c>
      <c r="H509" s="156" t="s">
        <v>27</v>
      </c>
      <c r="I509" s="157">
        <v>604850</v>
      </c>
      <c r="J509" s="160">
        <v>1</v>
      </c>
      <c r="K509" s="159">
        <f>MONTH(Tabela1[[#This Row],[Data da Venda]])</f>
        <v>6</v>
      </c>
      <c r="L509" s="159">
        <f>YEAR(Tabela1[[#This Row],[Data da Venda]])</f>
        <v>2013</v>
      </c>
    </row>
    <row r="510" spans="1:12" ht="15" hidden="1" customHeight="1">
      <c r="A510" s="149" t="s">
        <v>425</v>
      </c>
      <c r="B510" s="150" t="s">
        <v>404</v>
      </c>
      <c r="C510" s="155">
        <v>25</v>
      </c>
      <c r="D510" s="155" t="s">
        <v>328</v>
      </c>
      <c r="E510" s="155" t="s">
        <v>340</v>
      </c>
      <c r="F510" s="156">
        <v>41455</v>
      </c>
      <c r="G510" s="155" t="s">
        <v>239</v>
      </c>
      <c r="H510" s="156" t="s">
        <v>27</v>
      </c>
      <c r="I510" s="157">
        <v>374700</v>
      </c>
      <c r="J510" s="160">
        <v>1</v>
      </c>
      <c r="K510" s="159">
        <f>MONTH(Tabela1[[#This Row],[Data da Venda]])</f>
        <v>6</v>
      </c>
      <c r="L510" s="159">
        <f>YEAR(Tabela1[[#This Row],[Data da Venda]])</f>
        <v>2013</v>
      </c>
    </row>
    <row r="511" spans="1:12" ht="15" hidden="1" customHeight="1">
      <c r="A511" s="149" t="s">
        <v>425</v>
      </c>
      <c r="B511" s="150" t="s">
        <v>393</v>
      </c>
      <c r="C511" s="155">
        <v>31</v>
      </c>
      <c r="D511" s="155" t="s">
        <v>328</v>
      </c>
      <c r="E511" s="155" t="s">
        <v>340</v>
      </c>
      <c r="F511" s="156">
        <v>41455</v>
      </c>
      <c r="G511" s="156" t="s">
        <v>198</v>
      </c>
      <c r="H511" s="156" t="s">
        <v>23</v>
      </c>
      <c r="I511" s="157">
        <v>386260.76</v>
      </c>
      <c r="J511" s="160">
        <v>1</v>
      </c>
      <c r="K511" s="159">
        <f>MONTH(Tabela1[[#This Row],[Data da Venda]])</f>
        <v>6</v>
      </c>
      <c r="L511" s="159">
        <f>YEAR(Tabela1[[#This Row],[Data da Venda]])</f>
        <v>2013</v>
      </c>
    </row>
    <row r="512" spans="1:12" ht="15" hidden="1" customHeight="1">
      <c r="A512" s="149" t="s">
        <v>425</v>
      </c>
      <c r="B512" s="150" t="s">
        <v>393</v>
      </c>
      <c r="C512" s="155">
        <v>33</v>
      </c>
      <c r="D512" s="155" t="s">
        <v>328</v>
      </c>
      <c r="E512" s="155" t="s">
        <v>340</v>
      </c>
      <c r="F512" s="156">
        <v>41455</v>
      </c>
      <c r="G512" s="156" t="s">
        <v>207</v>
      </c>
      <c r="H512" s="156" t="s">
        <v>79</v>
      </c>
      <c r="I512" s="157">
        <v>220825</v>
      </c>
      <c r="J512" s="160">
        <v>0.5</v>
      </c>
      <c r="K512" s="159">
        <f>MONTH(Tabela1[[#This Row],[Data da Venda]])</f>
        <v>6</v>
      </c>
      <c r="L512" s="159">
        <f>YEAR(Tabela1[[#This Row],[Data da Venda]])</f>
        <v>2013</v>
      </c>
    </row>
    <row r="513" spans="1:12" ht="15" hidden="1" customHeight="1">
      <c r="A513" s="149" t="s">
        <v>425</v>
      </c>
      <c r="B513" s="150" t="s">
        <v>393</v>
      </c>
      <c r="C513" s="155">
        <v>33</v>
      </c>
      <c r="D513" s="155" t="s">
        <v>328</v>
      </c>
      <c r="E513" s="155" t="s">
        <v>340</v>
      </c>
      <c r="F513" s="156">
        <v>41455</v>
      </c>
      <c r="G513" s="156" t="s">
        <v>78</v>
      </c>
      <c r="H513" s="156" t="s">
        <v>79</v>
      </c>
      <c r="I513" s="157">
        <v>220825</v>
      </c>
      <c r="J513" s="160">
        <v>0.5</v>
      </c>
      <c r="K513" s="159">
        <f>MONTH(Tabela1[[#This Row],[Data da Venda]])</f>
        <v>6</v>
      </c>
      <c r="L513" s="159">
        <f>YEAR(Tabela1[[#This Row],[Data da Venda]])</f>
        <v>2013</v>
      </c>
    </row>
    <row r="514" spans="1:12" ht="15" hidden="1" customHeight="1">
      <c r="A514" s="149" t="s">
        <v>425</v>
      </c>
      <c r="B514" s="150" t="s">
        <v>404</v>
      </c>
      <c r="C514" s="155">
        <v>34</v>
      </c>
      <c r="D514" s="155" t="s">
        <v>328</v>
      </c>
      <c r="E514" s="155" t="s">
        <v>340</v>
      </c>
      <c r="F514" s="156">
        <v>41455</v>
      </c>
      <c r="G514" s="156" t="s">
        <v>292</v>
      </c>
      <c r="H514" s="156" t="s">
        <v>23</v>
      </c>
      <c r="I514" s="157">
        <v>197902.58</v>
      </c>
      <c r="J514" s="160">
        <v>0.5</v>
      </c>
      <c r="K514" s="159">
        <f>MONTH(Tabela1[[#This Row],[Data da Venda]])</f>
        <v>6</v>
      </c>
      <c r="L514" s="159">
        <f>YEAR(Tabela1[[#This Row],[Data da Venda]])</f>
        <v>2013</v>
      </c>
    </row>
    <row r="515" spans="1:12" ht="15" hidden="1" customHeight="1">
      <c r="A515" s="149" t="s">
        <v>425</v>
      </c>
      <c r="B515" s="150" t="s">
        <v>404</v>
      </c>
      <c r="C515" s="155">
        <v>34</v>
      </c>
      <c r="D515" s="155" t="s">
        <v>328</v>
      </c>
      <c r="E515" s="155" t="s">
        <v>340</v>
      </c>
      <c r="F515" s="156">
        <v>41455</v>
      </c>
      <c r="G515" s="156" t="s">
        <v>296</v>
      </c>
      <c r="H515" s="156" t="s">
        <v>23</v>
      </c>
      <c r="I515" s="157">
        <v>197902.58</v>
      </c>
      <c r="J515" s="160">
        <v>0.5</v>
      </c>
      <c r="K515" s="159">
        <f>MONTH(Tabela1[[#This Row],[Data da Venda]])</f>
        <v>6</v>
      </c>
      <c r="L515" s="159">
        <f>YEAR(Tabela1[[#This Row],[Data da Venda]])</f>
        <v>2013</v>
      </c>
    </row>
    <row r="516" spans="1:12" ht="15" hidden="1" customHeight="1">
      <c r="A516" s="149" t="s">
        <v>425</v>
      </c>
      <c r="B516" s="150" t="s">
        <v>403</v>
      </c>
      <c r="C516" s="155">
        <v>34</v>
      </c>
      <c r="D516" s="155" t="s">
        <v>328</v>
      </c>
      <c r="E516" s="155" t="s">
        <v>340</v>
      </c>
      <c r="F516" s="156">
        <v>41455</v>
      </c>
      <c r="G516" s="156" t="s">
        <v>304</v>
      </c>
      <c r="H516" s="156" t="s">
        <v>25</v>
      </c>
      <c r="I516" s="157">
        <v>633914.91</v>
      </c>
      <c r="J516" s="160">
        <v>1</v>
      </c>
      <c r="K516" s="159">
        <f>MONTH(Tabela1[[#This Row],[Data da Venda]])</f>
        <v>6</v>
      </c>
      <c r="L516" s="159">
        <f>YEAR(Tabela1[[#This Row],[Data da Venda]])</f>
        <v>2013</v>
      </c>
    </row>
    <row r="517" spans="1:12" ht="15" hidden="1" customHeight="1">
      <c r="A517" s="149" t="s">
        <v>425</v>
      </c>
      <c r="B517" s="150" t="s">
        <v>393</v>
      </c>
      <c r="C517" s="155">
        <v>35</v>
      </c>
      <c r="D517" s="155" t="s">
        <v>328</v>
      </c>
      <c r="E517" s="155" t="s">
        <v>340</v>
      </c>
      <c r="F517" s="156">
        <v>41455</v>
      </c>
      <c r="G517" s="156" t="s">
        <v>274</v>
      </c>
      <c r="H517" s="156" t="s">
        <v>27</v>
      </c>
      <c r="I517" s="157">
        <v>372753.5</v>
      </c>
      <c r="J517" s="160">
        <v>1</v>
      </c>
      <c r="K517" s="159">
        <f>MONTH(Tabela1[[#This Row],[Data da Venda]])</f>
        <v>6</v>
      </c>
      <c r="L517" s="159">
        <f>YEAR(Tabela1[[#This Row],[Data da Venda]])</f>
        <v>2013</v>
      </c>
    </row>
    <row r="518" spans="1:12" ht="15" hidden="1" customHeight="1">
      <c r="A518" s="149" t="s">
        <v>425</v>
      </c>
      <c r="B518" s="150" t="s">
        <v>404</v>
      </c>
      <c r="C518" s="155">
        <v>36</v>
      </c>
      <c r="D518" s="155" t="s">
        <v>328</v>
      </c>
      <c r="E518" s="155" t="s">
        <v>340</v>
      </c>
      <c r="F518" s="156">
        <v>41455</v>
      </c>
      <c r="G518" s="156" t="s">
        <v>274</v>
      </c>
      <c r="H518" s="156" t="s">
        <v>27</v>
      </c>
      <c r="I518" s="157">
        <v>492329</v>
      </c>
      <c r="J518" s="160">
        <v>1</v>
      </c>
      <c r="K518" s="159">
        <f>MONTH(Tabela1[[#This Row],[Data da Venda]])</f>
        <v>6</v>
      </c>
      <c r="L518" s="159">
        <f>YEAR(Tabela1[[#This Row],[Data da Venda]])</f>
        <v>2013</v>
      </c>
    </row>
    <row r="519" spans="1:12" ht="15" hidden="1" customHeight="1">
      <c r="A519" s="149" t="s">
        <v>191</v>
      </c>
      <c r="B519" s="193" t="s">
        <v>517</v>
      </c>
      <c r="C519" s="155">
        <v>203</v>
      </c>
      <c r="D519" s="155" t="s">
        <v>329</v>
      </c>
      <c r="E519" s="155" t="s">
        <v>339</v>
      </c>
      <c r="F519" s="156">
        <v>41455</v>
      </c>
      <c r="G519" s="156" t="s">
        <v>465</v>
      </c>
      <c r="H519" s="156" t="s">
        <v>33</v>
      </c>
      <c r="I519" s="157">
        <v>371700</v>
      </c>
      <c r="J519" s="158">
        <v>1</v>
      </c>
      <c r="K519" s="159">
        <f>MONTH(Tabela1[[#This Row],[Data da Venda]])</f>
        <v>6</v>
      </c>
      <c r="L519" s="159">
        <f>YEAR(Tabela1[[#This Row],[Data da Venda]])</f>
        <v>2013</v>
      </c>
    </row>
    <row r="520" spans="1:12" ht="15" hidden="1" customHeight="1">
      <c r="A520" s="149" t="s">
        <v>425</v>
      </c>
      <c r="B520" s="150" t="s">
        <v>404</v>
      </c>
      <c r="C520" s="155">
        <v>46</v>
      </c>
      <c r="D520" s="155" t="s">
        <v>328</v>
      </c>
      <c r="E520" s="155" t="s">
        <v>340</v>
      </c>
      <c r="F520" s="156">
        <v>41455</v>
      </c>
      <c r="G520" s="156" t="s">
        <v>274</v>
      </c>
      <c r="H520" s="156" t="s">
        <v>27</v>
      </c>
      <c r="I520" s="157">
        <v>430700</v>
      </c>
      <c r="J520" s="160">
        <v>1</v>
      </c>
      <c r="K520" s="159">
        <f>MONTH(Tabela1[[#This Row],[Data da Venda]])</f>
        <v>6</v>
      </c>
      <c r="L520" s="159">
        <f>YEAR(Tabela1[[#This Row],[Data da Venda]])</f>
        <v>2013</v>
      </c>
    </row>
    <row r="521" spans="1:12" ht="15" hidden="1" customHeight="1">
      <c r="A521" s="149" t="s">
        <v>425</v>
      </c>
      <c r="B521" s="150" t="s">
        <v>393</v>
      </c>
      <c r="C521" s="155">
        <v>51</v>
      </c>
      <c r="D521" s="155" t="s">
        <v>328</v>
      </c>
      <c r="E521" s="155" t="s">
        <v>340</v>
      </c>
      <c r="F521" s="156">
        <v>41455</v>
      </c>
      <c r="G521" s="156" t="s">
        <v>275</v>
      </c>
      <c r="H521" s="156" t="s">
        <v>27</v>
      </c>
      <c r="I521" s="157">
        <v>384015</v>
      </c>
      <c r="J521" s="160">
        <v>1</v>
      </c>
      <c r="K521" s="159">
        <f>MONTH(Tabela1[[#This Row],[Data da Venda]])</f>
        <v>6</v>
      </c>
      <c r="L521" s="159">
        <f>YEAR(Tabela1[[#This Row],[Data da Venda]])</f>
        <v>2013</v>
      </c>
    </row>
    <row r="522" spans="1:12" ht="15" hidden="1" customHeight="1">
      <c r="A522" s="149" t="s">
        <v>425</v>
      </c>
      <c r="B522" s="150" t="s">
        <v>393</v>
      </c>
      <c r="C522" s="155">
        <v>72</v>
      </c>
      <c r="D522" s="155" t="s">
        <v>328</v>
      </c>
      <c r="E522" s="155" t="s">
        <v>340</v>
      </c>
      <c r="F522" s="156">
        <v>41455</v>
      </c>
      <c r="G522" s="156" t="s">
        <v>282</v>
      </c>
      <c r="H522" s="156" t="s">
        <v>26</v>
      </c>
      <c r="I522" s="157">
        <v>473568.86</v>
      </c>
      <c r="J522" s="158">
        <v>1</v>
      </c>
      <c r="K522" s="159">
        <f>MONTH(Tabela1[[#This Row],[Data da Venda]])</f>
        <v>6</v>
      </c>
      <c r="L522" s="159">
        <f>YEAR(Tabela1[[#This Row],[Data da Venda]])</f>
        <v>2013</v>
      </c>
    </row>
    <row r="523" spans="1:12" ht="15" hidden="1" customHeight="1">
      <c r="A523" s="149" t="s">
        <v>425</v>
      </c>
      <c r="B523" s="150" t="s">
        <v>404</v>
      </c>
      <c r="C523" s="155">
        <v>84</v>
      </c>
      <c r="D523" s="155" t="s">
        <v>329</v>
      </c>
      <c r="E523" s="155" t="s">
        <v>340</v>
      </c>
      <c r="F523" s="156">
        <v>41455</v>
      </c>
      <c r="G523" s="156" t="s">
        <v>337</v>
      </c>
      <c r="H523" s="156" t="s">
        <v>33</v>
      </c>
      <c r="I523" s="157">
        <v>402500</v>
      </c>
      <c r="J523" s="158">
        <v>1</v>
      </c>
      <c r="K523" s="159">
        <f>MONTH(Tabela1[[#This Row],[Data da Venda]])</f>
        <v>6</v>
      </c>
      <c r="L523" s="159">
        <f>YEAR(Tabela1[[#This Row],[Data da Venda]])</f>
        <v>2013</v>
      </c>
    </row>
    <row r="524" spans="1:12" ht="15" hidden="1" customHeight="1">
      <c r="A524" s="149" t="s">
        <v>425</v>
      </c>
      <c r="B524" s="150" t="s">
        <v>403</v>
      </c>
      <c r="C524" s="155">
        <v>4</v>
      </c>
      <c r="D524" s="155" t="s">
        <v>328</v>
      </c>
      <c r="E524" s="155" t="s">
        <v>340</v>
      </c>
      <c r="F524" s="156">
        <v>41456</v>
      </c>
      <c r="G524" s="156" t="s">
        <v>282</v>
      </c>
      <c r="H524" s="156" t="s">
        <v>26</v>
      </c>
      <c r="I524" s="157">
        <v>665200</v>
      </c>
      <c r="J524" s="160">
        <v>1</v>
      </c>
      <c r="K524" s="159">
        <f>MONTH(Tabela1[[#This Row],[Data da Venda]])</f>
        <v>7</v>
      </c>
      <c r="L524" s="159">
        <f>YEAR(Tabela1[[#This Row],[Data da Venda]])</f>
        <v>2013</v>
      </c>
    </row>
    <row r="525" spans="1:12" ht="15" hidden="1" customHeight="1">
      <c r="A525" s="149" t="s">
        <v>415</v>
      </c>
      <c r="B525" s="150" t="s">
        <v>416</v>
      </c>
      <c r="C525" s="155">
        <v>1204</v>
      </c>
      <c r="D525" s="155" t="s">
        <v>328</v>
      </c>
      <c r="E525" s="155" t="s">
        <v>340</v>
      </c>
      <c r="F525" s="156">
        <v>41457</v>
      </c>
      <c r="G525" s="156" t="s">
        <v>311</v>
      </c>
      <c r="H525" s="156" t="s">
        <v>61</v>
      </c>
      <c r="I525" s="157">
        <v>505000</v>
      </c>
      <c r="J525" s="160">
        <v>1</v>
      </c>
      <c r="K525" s="159">
        <f>MONTH(Tabela1[[#This Row],[Data da Venda]])</f>
        <v>7</v>
      </c>
      <c r="L525" s="159">
        <f>YEAR(Tabela1[[#This Row],[Data da Venda]])</f>
        <v>2013</v>
      </c>
    </row>
    <row r="526" spans="1:12" ht="15" hidden="1" customHeight="1">
      <c r="A526" s="149" t="s">
        <v>415</v>
      </c>
      <c r="B526" s="150" t="s">
        <v>416</v>
      </c>
      <c r="C526" s="155">
        <v>2115</v>
      </c>
      <c r="D526" s="155" t="s">
        <v>328</v>
      </c>
      <c r="E526" s="155" t="s">
        <v>340</v>
      </c>
      <c r="F526" s="156">
        <v>41457</v>
      </c>
      <c r="G526" s="156" t="s">
        <v>311</v>
      </c>
      <c r="H526" s="156" t="s">
        <v>61</v>
      </c>
      <c r="I526" s="157">
        <v>379800</v>
      </c>
      <c r="J526" s="160">
        <v>1</v>
      </c>
      <c r="K526" s="159">
        <f>MONTH(Tabela1[[#This Row],[Data da Venda]])</f>
        <v>7</v>
      </c>
      <c r="L526" s="159">
        <f>YEAR(Tabela1[[#This Row],[Data da Venda]])</f>
        <v>2013</v>
      </c>
    </row>
    <row r="527" spans="1:12" ht="15" hidden="1" customHeight="1">
      <c r="A527" s="149" t="s">
        <v>425</v>
      </c>
      <c r="B527" s="150" t="s">
        <v>393</v>
      </c>
      <c r="C527" s="155">
        <v>25</v>
      </c>
      <c r="D527" s="155" t="s">
        <v>328</v>
      </c>
      <c r="E527" s="155" t="s">
        <v>340</v>
      </c>
      <c r="F527" s="156">
        <v>41457</v>
      </c>
      <c r="G527" s="156" t="s">
        <v>302</v>
      </c>
      <c r="H527" s="156" t="s">
        <v>25</v>
      </c>
      <c r="I527" s="157">
        <v>355257</v>
      </c>
      <c r="J527" s="160">
        <v>1</v>
      </c>
      <c r="K527" s="159">
        <f>MONTH(Tabela1[[#This Row],[Data da Venda]])</f>
        <v>7</v>
      </c>
      <c r="L527" s="159">
        <f>YEAR(Tabela1[[#This Row],[Data da Venda]])</f>
        <v>2013</v>
      </c>
    </row>
    <row r="528" spans="1:12" ht="15" hidden="1" customHeight="1">
      <c r="A528" s="149" t="s">
        <v>191</v>
      </c>
      <c r="B528" s="150" t="s">
        <v>401</v>
      </c>
      <c r="C528" s="155">
        <v>58</v>
      </c>
      <c r="D528" s="155" t="s">
        <v>328</v>
      </c>
      <c r="E528" s="155" t="s">
        <v>339</v>
      </c>
      <c r="F528" s="156">
        <v>41457</v>
      </c>
      <c r="G528" s="156" t="s">
        <v>19</v>
      </c>
      <c r="H528" s="156" t="s">
        <v>27</v>
      </c>
      <c r="I528" s="157">
        <v>209324.31</v>
      </c>
      <c r="J528" s="160">
        <v>1</v>
      </c>
      <c r="K528" s="159">
        <f>MONTH(Tabela1[[#This Row],[Data da Venda]])</f>
        <v>7</v>
      </c>
      <c r="L528" s="159">
        <f>YEAR(Tabela1[[#This Row],[Data da Venda]])</f>
        <v>2013</v>
      </c>
    </row>
    <row r="529" spans="1:12" ht="15" hidden="1" customHeight="1">
      <c r="A529" s="149" t="s">
        <v>191</v>
      </c>
      <c r="B529" s="150" t="s">
        <v>385</v>
      </c>
      <c r="C529" s="155">
        <v>102</v>
      </c>
      <c r="D529" s="155" t="s">
        <v>328</v>
      </c>
      <c r="E529" s="155" t="s">
        <v>339</v>
      </c>
      <c r="F529" s="156">
        <v>41457</v>
      </c>
      <c r="G529" s="156" t="s">
        <v>19</v>
      </c>
      <c r="H529" s="156" t="s">
        <v>27</v>
      </c>
      <c r="I529" s="157">
        <v>130000</v>
      </c>
      <c r="J529" s="160">
        <v>0.5</v>
      </c>
      <c r="K529" s="159">
        <f>MONTH(Tabela1[[#This Row],[Data da Venda]])</f>
        <v>7</v>
      </c>
      <c r="L529" s="159">
        <f>YEAR(Tabela1[[#This Row],[Data da Venda]])</f>
        <v>2013</v>
      </c>
    </row>
    <row r="530" spans="1:12" ht="15" hidden="1" customHeight="1">
      <c r="A530" s="149" t="s">
        <v>191</v>
      </c>
      <c r="B530" s="150" t="s">
        <v>385</v>
      </c>
      <c r="C530" s="155">
        <v>102</v>
      </c>
      <c r="D530" s="155" t="s">
        <v>328</v>
      </c>
      <c r="E530" s="155" t="s">
        <v>339</v>
      </c>
      <c r="F530" s="156">
        <v>41457</v>
      </c>
      <c r="G530" s="156" t="s">
        <v>237</v>
      </c>
      <c r="H530" s="156" t="s">
        <v>27</v>
      </c>
      <c r="I530" s="157">
        <v>130000</v>
      </c>
      <c r="J530" s="160">
        <v>0.5</v>
      </c>
      <c r="K530" s="159">
        <f>MONTH(Tabela1[[#This Row],[Data da Venda]])</f>
        <v>7</v>
      </c>
      <c r="L530" s="159">
        <f>YEAR(Tabela1[[#This Row],[Data da Venda]])</f>
        <v>2013</v>
      </c>
    </row>
    <row r="531" spans="1:12" ht="15" hidden="1" customHeight="1">
      <c r="A531" s="149" t="s">
        <v>191</v>
      </c>
      <c r="B531" s="150" t="s">
        <v>435</v>
      </c>
      <c r="C531" s="155">
        <v>131</v>
      </c>
      <c r="D531" s="155" t="s">
        <v>328</v>
      </c>
      <c r="E531" s="155" t="s">
        <v>339</v>
      </c>
      <c r="F531" s="156">
        <v>41457</v>
      </c>
      <c r="G531" s="156" t="s">
        <v>331</v>
      </c>
      <c r="H531" s="156" t="s">
        <v>23</v>
      </c>
      <c r="I531" s="157">
        <v>225000</v>
      </c>
      <c r="J531" s="160">
        <v>1</v>
      </c>
      <c r="K531" s="159">
        <f>MONTH(Tabela1[[#This Row],[Data da Venda]])</f>
        <v>7</v>
      </c>
      <c r="L531" s="159">
        <f>YEAR(Tabela1[[#This Row],[Data da Venda]])</f>
        <v>2013</v>
      </c>
    </row>
    <row r="532" spans="1:12" ht="15" hidden="1" customHeight="1">
      <c r="A532" s="149" t="s">
        <v>425</v>
      </c>
      <c r="B532" s="150" t="s">
        <v>404</v>
      </c>
      <c r="C532" s="155">
        <v>44</v>
      </c>
      <c r="D532" s="155" t="s">
        <v>328</v>
      </c>
      <c r="E532" s="155" t="s">
        <v>340</v>
      </c>
      <c r="F532" s="156">
        <v>41457</v>
      </c>
      <c r="G532" s="156" t="s">
        <v>335</v>
      </c>
      <c r="H532" s="156" t="s">
        <v>27</v>
      </c>
      <c r="I532" s="157">
        <v>367120</v>
      </c>
      <c r="J532" s="160">
        <v>1</v>
      </c>
      <c r="K532" s="159">
        <f>MONTH(Tabela1[[#This Row],[Data da Venda]])</f>
        <v>7</v>
      </c>
      <c r="L532" s="159">
        <f>YEAR(Tabela1[[#This Row],[Data da Venda]])</f>
        <v>2013</v>
      </c>
    </row>
    <row r="533" spans="1:12" ht="15" hidden="1" customHeight="1">
      <c r="A533" s="149" t="s">
        <v>425</v>
      </c>
      <c r="B533" s="150" t="s">
        <v>393</v>
      </c>
      <c r="C533" s="155">
        <v>78</v>
      </c>
      <c r="D533" s="155" t="s">
        <v>328</v>
      </c>
      <c r="E533" s="155" t="s">
        <v>340</v>
      </c>
      <c r="F533" s="156">
        <v>41457</v>
      </c>
      <c r="G533" s="156" t="s">
        <v>59</v>
      </c>
      <c r="H533" s="156" t="s">
        <v>25</v>
      </c>
      <c r="I533" s="157">
        <v>378000</v>
      </c>
      <c r="J533" s="160">
        <v>1</v>
      </c>
      <c r="K533" s="159">
        <f>MONTH(Tabela1[[#This Row],[Data da Venda]])</f>
        <v>7</v>
      </c>
      <c r="L533" s="159">
        <f>YEAR(Tabela1[[#This Row],[Data da Venda]])</f>
        <v>2013</v>
      </c>
    </row>
    <row r="534" spans="1:12" ht="15" hidden="1" customHeight="1">
      <c r="A534" s="149" t="s">
        <v>425</v>
      </c>
      <c r="B534" s="150" t="s">
        <v>404</v>
      </c>
      <c r="C534" s="155">
        <v>6</v>
      </c>
      <c r="D534" s="155" t="s">
        <v>329</v>
      </c>
      <c r="E534" s="155" t="s">
        <v>340</v>
      </c>
      <c r="F534" s="156">
        <v>41458</v>
      </c>
      <c r="G534" s="156" t="s">
        <v>463</v>
      </c>
      <c r="H534" s="156" t="s">
        <v>33</v>
      </c>
      <c r="I534" s="157">
        <v>248655.5</v>
      </c>
      <c r="J534" s="160">
        <v>0.5</v>
      </c>
      <c r="K534" s="159">
        <f>MONTH(Tabela1[[#This Row],[Data da Venda]])</f>
        <v>7</v>
      </c>
      <c r="L534" s="159">
        <f>YEAR(Tabela1[[#This Row],[Data da Venda]])</f>
        <v>2013</v>
      </c>
    </row>
    <row r="535" spans="1:12" ht="15" hidden="1" customHeight="1">
      <c r="A535" s="149" t="s">
        <v>425</v>
      </c>
      <c r="B535" s="150" t="s">
        <v>404</v>
      </c>
      <c r="C535" s="155">
        <v>6</v>
      </c>
      <c r="D535" s="155" t="s">
        <v>328</v>
      </c>
      <c r="E535" s="155" t="s">
        <v>340</v>
      </c>
      <c r="F535" s="156">
        <v>41458</v>
      </c>
      <c r="G535" s="156" t="s">
        <v>63</v>
      </c>
      <c r="H535" s="156" t="s">
        <v>25</v>
      </c>
      <c r="I535" s="157">
        <v>248655.5</v>
      </c>
      <c r="J535" s="160">
        <v>0.5</v>
      </c>
      <c r="K535" s="159">
        <f>MONTH(Tabela1[[#This Row],[Data da Venda]])</f>
        <v>7</v>
      </c>
      <c r="L535" s="159">
        <f>YEAR(Tabela1[[#This Row],[Data da Venda]])</f>
        <v>2013</v>
      </c>
    </row>
    <row r="536" spans="1:12" ht="15" hidden="1" customHeight="1">
      <c r="A536" s="149" t="s">
        <v>425</v>
      </c>
      <c r="B536" s="150" t="s">
        <v>404</v>
      </c>
      <c r="C536" s="155">
        <v>27</v>
      </c>
      <c r="D536" s="155" t="s">
        <v>329</v>
      </c>
      <c r="E536" s="155" t="s">
        <v>340</v>
      </c>
      <c r="F536" s="156">
        <v>41458</v>
      </c>
      <c r="G536" s="156" t="s">
        <v>465</v>
      </c>
      <c r="H536" s="156" t="s">
        <v>33</v>
      </c>
      <c r="I536" s="157">
        <v>484990.25</v>
      </c>
      <c r="J536" s="160">
        <v>1</v>
      </c>
      <c r="K536" s="159">
        <f>MONTH(Tabela1[[#This Row],[Data da Venda]])</f>
        <v>7</v>
      </c>
      <c r="L536" s="159">
        <f>YEAR(Tabela1[[#This Row],[Data da Venda]])</f>
        <v>2013</v>
      </c>
    </row>
    <row r="537" spans="1:12" ht="15" hidden="1" customHeight="1">
      <c r="A537" s="149" t="s">
        <v>425</v>
      </c>
      <c r="B537" s="150" t="s">
        <v>404</v>
      </c>
      <c r="C537" s="155">
        <v>42</v>
      </c>
      <c r="D537" s="155" t="s">
        <v>328</v>
      </c>
      <c r="E537" s="155" t="s">
        <v>340</v>
      </c>
      <c r="F537" s="156">
        <v>41458</v>
      </c>
      <c r="G537" s="156" t="s">
        <v>309</v>
      </c>
      <c r="H537" s="156" t="s">
        <v>26</v>
      </c>
      <c r="I537" s="157">
        <v>232037</v>
      </c>
      <c r="J537" s="160">
        <v>0.5</v>
      </c>
      <c r="K537" s="159">
        <f>MONTH(Tabela1[[#This Row],[Data da Venda]])</f>
        <v>7</v>
      </c>
      <c r="L537" s="159">
        <f>YEAR(Tabela1[[#This Row],[Data da Venda]])</f>
        <v>2013</v>
      </c>
    </row>
    <row r="538" spans="1:12" ht="15" hidden="1" customHeight="1">
      <c r="A538" s="149" t="s">
        <v>425</v>
      </c>
      <c r="B538" s="150" t="s">
        <v>404</v>
      </c>
      <c r="C538" s="155">
        <v>42</v>
      </c>
      <c r="D538" s="155" t="s">
        <v>328</v>
      </c>
      <c r="E538" s="155" t="s">
        <v>340</v>
      </c>
      <c r="F538" s="156">
        <v>41458</v>
      </c>
      <c r="G538" s="156" t="s">
        <v>237</v>
      </c>
      <c r="H538" s="156" t="s">
        <v>27</v>
      </c>
      <c r="I538" s="157">
        <v>232037</v>
      </c>
      <c r="J538" s="160">
        <v>0.5</v>
      </c>
      <c r="K538" s="159">
        <f>MONTH(Tabela1[[#This Row],[Data da Venda]])</f>
        <v>7</v>
      </c>
      <c r="L538" s="159">
        <f>YEAR(Tabela1[[#This Row],[Data da Venda]])</f>
        <v>2013</v>
      </c>
    </row>
    <row r="539" spans="1:12" ht="15" hidden="1" customHeight="1">
      <c r="A539" s="149" t="s">
        <v>415</v>
      </c>
      <c r="B539" s="150" t="s">
        <v>416</v>
      </c>
      <c r="C539" s="155">
        <v>805</v>
      </c>
      <c r="D539" s="155" t="s">
        <v>328</v>
      </c>
      <c r="E539" s="155" t="s">
        <v>340</v>
      </c>
      <c r="F539" s="156">
        <v>41460</v>
      </c>
      <c r="G539" s="156" t="s">
        <v>62</v>
      </c>
      <c r="H539" s="156" t="s">
        <v>25</v>
      </c>
      <c r="I539" s="157">
        <v>620500</v>
      </c>
      <c r="J539" s="160">
        <v>1</v>
      </c>
      <c r="K539" s="159">
        <f>MONTH(Tabela1[[#This Row],[Data da Venda]])</f>
        <v>7</v>
      </c>
      <c r="L539" s="159">
        <f>YEAR(Tabela1[[#This Row],[Data da Venda]])</f>
        <v>2013</v>
      </c>
    </row>
    <row r="540" spans="1:12" ht="15" hidden="1" customHeight="1">
      <c r="A540" s="149" t="s">
        <v>425</v>
      </c>
      <c r="B540" s="150" t="s">
        <v>404</v>
      </c>
      <c r="C540" s="155">
        <v>78</v>
      </c>
      <c r="D540" s="155" t="s">
        <v>328</v>
      </c>
      <c r="E540" s="155" t="s">
        <v>340</v>
      </c>
      <c r="F540" s="156">
        <v>41460</v>
      </c>
      <c r="G540" s="156" t="s">
        <v>198</v>
      </c>
      <c r="H540" s="156" t="s">
        <v>23</v>
      </c>
      <c r="I540" s="157">
        <v>365283.77</v>
      </c>
      <c r="J540" s="160">
        <v>1</v>
      </c>
      <c r="K540" s="159">
        <f>MONTH(Tabela1[[#This Row],[Data da Venda]])</f>
        <v>7</v>
      </c>
      <c r="L540" s="159">
        <f>YEAR(Tabela1[[#This Row],[Data da Venda]])</f>
        <v>2013</v>
      </c>
    </row>
    <row r="541" spans="1:12" ht="15" hidden="1" customHeight="1">
      <c r="A541" s="149" t="s">
        <v>425</v>
      </c>
      <c r="B541" s="150" t="s">
        <v>403</v>
      </c>
      <c r="C541" s="155">
        <v>3</v>
      </c>
      <c r="D541" s="155" t="s">
        <v>328</v>
      </c>
      <c r="E541" s="155" t="s">
        <v>340</v>
      </c>
      <c r="F541" s="156">
        <v>41461</v>
      </c>
      <c r="G541" s="156" t="s">
        <v>304</v>
      </c>
      <c r="H541" s="156" t="s">
        <v>25</v>
      </c>
      <c r="I541" s="157">
        <v>621600</v>
      </c>
      <c r="J541" s="160">
        <v>1</v>
      </c>
      <c r="K541" s="159">
        <f>MONTH(Tabela1[[#This Row],[Data da Venda]])</f>
        <v>7</v>
      </c>
      <c r="L541" s="159">
        <f>YEAR(Tabela1[[#This Row],[Data da Venda]])</f>
        <v>2013</v>
      </c>
    </row>
    <row r="542" spans="1:12" ht="15" hidden="1" customHeight="1">
      <c r="A542" s="149" t="s">
        <v>425</v>
      </c>
      <c r="B542" s="150" t="s">
        <v>393</v>
      </c>
      <c r="C542" s="155">
        <v>84</v>
      </c>
      <c r="D542" s="155" t="s">
        <v>328</v>
      </c>
      <c r="E542" s="155" t="s">
        <v>340</v>
      </c>
      <c r="F542" s="156">
        <v>41461</v>
      </c>
      <c r="G542" s="156" t="s">
        <v>196</v>
      </c>
      <c r="H542" s="156" t="s">
        <v>24</v>
      </c>
      <c r="I542" s="157">
        <v>378800</v>
      </c>
      <c r="J542" s="160">
        <v>1</v>
      </c>
      <c r="K542" s="159">
        <f>MONTH(Tabela1[[#This Row],[Data da Venda]])</f>
        <v>7</v>
      </c>
      <c r="L542" s="159">
        <f>YEAR(Tabela1[[#This Row],[Data da Venda]])</f>
        <v>2013</v>
      </c>
    </row>
    <row r="543" spans="1:12" ht="15" hidden="1" customHeight="1">
      <c r="A543" s="149" t="s">
        <v>425</v>
      </c>
      <c r="B543" s="150" t="s">
        <v>393</v>
      </c>
      <c r="C543" s="155">
        <v>88</v>
      </c>
      <c r="D543" s="155" t="s">
        <v>328</v>
      </c>
      <c r="E543" s="155" t="s">
        <v>340</v>
      </c>
      <c r="F543" s="156">
        <v>41461</v>
      </c>
      <c r="G543" s="156" t="s">
        <v>302</v>
      </c>
      <c r="H543" s="156" t="s">
        <v>25</v>
      </c>
      <c r="I543" s="157">
        <v>391565</v>
      </c>
      <c r="J543" s="160">
        <v>1</v>
      </c>
      <c r="K543" s="159">
        <f>MONTH(Tabela1[[#This Row],[Data da Venda]])</f>
        <v>7</v>
      </c>
      <c r="L543" s="159">
        <f>YEAR(Tabela1[[#This Row],[Data da Venda]])</f>
        <v>2013</v>
      </c>
    </row>
    <row r="544" spans="1:12" ht="15" hidden="1" customHeight="1">
      <c r="A544" s="149" t="s">
        <v>425</v>
      </c>
      <c r="B544" s="150" t="s">
        <v>398</v>
      </c>
      <c r="C544" s="155">
        <v>12</v>
      </c>
      <c r="D544" s="155" t="s">
        <v>328</v>
      </c>
      <c r="E544" s="155" t="s">
        <v>340</v>
      </c>
      <c r="F544" s="156">
        <v>41462</v>
      </c>
      <c r="G544" s="156" t="s">
        <v>336</v>
      </c>
      <c r="H544" s="156" t="s">
        <v>24</v>
      </c>
      <c r="I544" s="157">
        <v>610231</v>
      </c>
      <c r="J544" s="160">
        <v>1</v>
      </c>
      <c r="K544" s="159">
        <f>MONTH(Tabela1[[#This Row],[Data da Venda]])</f>
        <v>7</v>
      </c>
      <c r="L544" s="159">
        <f>YEAR(Tabela1[[#This Row],[Data da Venda]])</f>
        <v>2013</v>
      </c>
    </row>
    <row r="545" spans="1:12" ht="15" hidden="1" customHeight="1">
      <c r="A545" s="149" t="s">
        <v>425</v>
      </c>
      <c r="B545" s="150" t="s">
        <v>393</v>
      </c>
      <c r="C545" s="155">
        <v>22</v>
      </c>
      <c r="D545" s="155" t="s">
        <v>328</v>
      </c>
      <c r="E545" s="155" t="s">
        <v>340</v>
      </c>
      <c r="F545" s="156">
        <v>41462</v>
      </c>
      <c r="G545" s="156" t="s">
        <v>282</v>
      </c>
      <c r="H545" s="156" t="s">
        <v>26</v>
      </c>
      <c r="I545" s="157">
        <v>442928</v>
      </c>
      <c r="J545" s="160">
        <v>1</v>
      </c>
      <c r="K545" s="159">
        <f>MONTH(Tabela1[[#This Row],[Data da Venda]])</f>
        <v>7</v>
      </c>
      <c r="L545" s="159">
        <f>YEAR(Tabela1[[#This Row],[Data da Venda]])</f>
        <v>2013</v>
      </c>
    </row>
    <row r="546" spans="1:12" ht="15" hidden="1" customHeight="1">
      <c r="A546" s="149" t="s">
        <v>425</v>
      </c>
      <c r="B546" s="150" t="s">
        <v>393</v>
      </c>
      <c r="C546" s="155">
        <v>45</v>
      </c>
      <c r="D546" s="155" t="s">
        <v>328</v>
      </c>
      <c r="E546" s="155" t="s">
        <v>340</v>
      </c>
      <c r="F546" s="156">
        <v>41462</v>
      </c>
      <c r="G546" s="156" t="s">
        <v>304</v>
      </c>
      <c r="H546" s="156" t="s">
        <v>25</v>
      </c>
      <c r="I546" s="157">
        <v>181400</v>
      </c>
      <c r="J546" s="160">
        <v>0.5</v>
      </c>
      <c r="K546" s="159">
        <f>MONTH(Tabela1[[#This Row],[Data da Venda]])</f>
        <v>7</v>
      </c>
      <c r="L546" s="159">
        <f>YEAR(Tabela1[[#This Row],[Data da Venda]])</f>
        <v>2013</v>
      </c>
    </row>
    <row r="547" spans="1:12" ht="15" hidden="1" customHeight="1">
      <c r="A547" s="149" t="s">
        <v>425</v>
      </c>
      <c r="B547" s="150" t="s">
        <v>393</v>
      </c>
      <c r="C547" s="155">
        <v>45</v>
      </c>
      <c r="D547" s="155" t="s">
        <v>328</v>
      </c>
      <c r="E547" s="155" t="s">
        <v>340</v>
      </c>
      <c r="F547" s="156">
        <v>41462</v>
      </c>
      <c r="G547" s="156" t="s">
        <v>302</v>
      </c>
      <c r="H547" s="156" t="s">
        <v>25</v>
      </c>
      <c r="I547" s="157">
        <v>181400</v>
      </c>
      <c r="J547" s="160">
        <v>0.5</v>
      </c>
      <c r="K547" s="159">
        <f>MONTH(Tabela1[[#This Row],[Data da Venda]])</f>
        <v>7</v>
      </c>
      <c r="L547" s="159">
        <f>YEAR(Tabela1[[#This Row],[Data da Venda]])</f>
        <v>2013</v>
      </c>
    </row>
    <row r="548" spans="1:12" ht="15" hidden="1" customHeight="1">
      <c r="A548" s="149" t="s">
        <v>191</v>
      </c>
      <c r="B548" s="150" t="s">
        <v>435</v>
      </c>
      <c r="C548" s="155">
        <v>145</v>
      </c>
      <c r="D548" s="155" t="s">
        <v>329</v>
      </c>
      <c r="E548" s="155" t="s">
        <v>339</v>
      </c>
      <c r="F548" s="156">
        <v>41462</v>
      </c>
      <c r="G548" s="156" t="s">
        <v>465</v>
      </c>
      <c r="H548" s="156" t="s">
        <v>33</v>
      </c>
      <c r="I548" s="157">
        <v>250000</v>
      </c>
      <c r="J548" s="160">
        <v>1</v>
      </c>
      <c r="K548" s="159">
        <f>MONTH(Tabela1[[#This Row],[Data da Venda]])</f>
        <v>7</v>
      </c>
      <c r="L548" s="159">
        <f>YEAR(Tabela1[[#This Row],[Data da Venda]])</f>
        <v>2013</v>
      </c>
    </row>
    <row r="549" spans="1:12" ht="15" hidden="1" customHeight="1">
      <c r="A549" s="149" t="s">
        <v>425</v>
      </c>
      <c r="B549" s="150" t="s">
        <v>404</v>
      </c>
      <c r="C549" s="155">
        <v>51</v>
      </c>
      <c r="D549" s="155" t="s">
        <v>328</v>
      </c>
      <c r="E549" s="155" t="s">
        <v>340</v>
      </c>
      <c r="F549" s="156">
        <v>41462</v>
      </c>
      <c r="G549" s="156" t="s">
        <v>302</v>
      </c>
      <c r="H549" s="156" t="s">
        <v>25</v>
      </c>
      <c r="I549" s="157">
        <v>384105.09</v>
      </c>
      <c r="J549" s="160">
        <v>1</v>
      </c>
      <c r="K549" s="159">
        <f>MONTH(Tabela1[[#This Row],[Data da Venda]])</f>
        <v>7</v>
      </c>
      <c r="L549" s="159">
        <f>YEAR(Tabela1[[#This Row],[Data da Venda]])</f>
        <v>2013</v>
      </c>
    </row>
    <row r="550" spans="1:12" ht="15" hidden="1" customHeight="1">
      <c r="A550" s="149" t="s">
        <v>425</v>
      </c>
      <c r="B550" s="150" t="s">
        <v>393</v>
      </c>
      <c r="C550" s="155">
        <v>64</v>
      </c>
      <c r="D550" s="155" t="s">
        <v>328</v>
      </c>
      <c r="E550" s="155" t="s">
        <v>340</v>
      </c>
      <c r="F550" s="156">
        <v>41462</v>
      </c>
      <c r="G550" s="156" t="s">
        <v>302</v>
      </c>
      <c r="H550" s="156" t="s">
        <v>25</v>
      </c>
      <c r="I550" s="157">
        <v>351581.49</v>
      </c>
      <c r="J550" s="160">
        <v>1</v>
      </c>
      <c r="K550" s="159">
        <f>MONTH(Tabela1[[#This Row],[Data da Venda]])</f>
        <v>7</v>
      </c>
      <c r="L550" s="159">
        <f>YEAR(Tabela1[[#This Row],[Data da Venda]])</f>
        <v>2013</v>
      </c>
    </row>
    <row r="551" spans="1:12" ht="15" hidden="1" customHeight="1">
      <c r="A551" s="149" t="s">
        <v>425</v>
      </c>
      <c r="B551" s="150" t="s">
        <v>404</v>
      </c>
      <c r="C551" s="155">
        <v>11</v>
      </c>
      <c r="D551" s="155" t="s">
        <v>328</v>
      </c>
      <c r="E551" s="155" t="s">
        <v>340</v>
      </c>
      <c r="F551" s="156">
        <v>41463</v>
      </c>
      <c r="G551" s="156" t="s">
        <v>283</v>
      </c>
      <c r="H551" s="156" t="s">
        <v>26</v>
      </c>
      <c r="I551" s="157">
        <v>189100</v>
      </c>
      <c r="J551" s="160">
        <v>0.5</v>
      </c>
      <c r="K551" s="159">
        <f>MONTH(Tabela1[[#This Row],[Data da Venda]])</f>
        <v>7</v>
      </c>
      <c r="L551" s="159">
        <f>YEAR(Tabela1[[#This Row],[Data da Venda]])</f>
        <v>2013</v>
      </c>
    </row>
    <row r="552" spans="1:12" ht="15" hidden="1" customHeight="1">
      <c r="A552" s="149" t="s">
        <v>425</v>
      </c>
      <c r="B552" s="150" t="s">
        <v>404</v>
      </c>
      <c r="C552" s="155">
        <v>11</v>
      </c>
      <c r="D552" s="155" t="s">
        <v>328</v>
      </c>
      <c r="E552" s="155" t="s">
        <v>340</v>
      </c>
      <c r="F552" s="156">
        <v>41463</v>
      </c>
      <c r="G552" s="156" t="s">
        <v>330</v>
      </c>
      <c r="H552" s="156" t="s">
        <v>26</v>
      </c>
      <c r="I552" s="157">
        <v>189100</v>
      </c>
      <c r="J552" s="160">
        <v>0.5</v>
      </c>
      <c r="K552" s="159">
        <f>MONTH(Tabela1[[#This Row],[Data da Venda]])</f>
        <v>7</v>
      </c>
      <c r="L552" s="159">
        <f>YEAR(Tabela1[[#This Row],[Data da Venda]])</f>
        <v>2013</v>
      </c>
    </row>
    <row r="553" spans="1:12" ht="15" hidden="1" customHeight="1">
      <c r="A553" s="149" t="s">
        <v>425</v>
      </c>
      <c r="B553" s="150" t="s">
        <v>404</v>
      </c>
      <c r="C553" s="155">
        <v>63</v>
      </c>
      <c r="D553" s="155" t="s">
        <v>329</v>
      </c>
      <c r="E553" s="155" t="s">
        <v>340</v>
      </c>
      <c r="F553" s="156">
        <v>41463</v>
      </c>
      <c r="G553" s="156" t="s">
        <v>337</v>
      </c>
      <c r="H553" s="156" t="s">
        <v>33</v>
      </c>
      <c r="I553" s="157">
        <v>524761.72</v>
      </c>
      <c r="J553" s="160">
        <v>1</v>
      </c>
      <c r="K553" s="159">
        <f>MONTH(Tabela1[[#This Row],[Data da Venda]])</f>
        <v>7</v>
      </c>
      <c r="L553" s="159">
        <f>YEAR(Tabela1[[#This Row],[Data da Venda]])</f>
        <v>2013</v>
      </c>
    </row>
    <row r="554" spans="1:12" ht="15" hidden="1" customHeight="1">
      <c r="A554" s="149" t="s">
        <v>425</v>
      </c>
      <c r="B554" s="150" t="s">
        <v>404</v>
      </c>
      <c r="C554" s="155">
        <v>61</v>
      </c>
      <c r="D554" s="155" t="s">
        <v>328</v>
      </c>
      <c r="E554" s="155" t="s">
        <v>340</v>
      </c>
      <c r="F554" s="156">
        <v>41464</v>
      </c>
      <c r="G554" s="156" t="s">
        <v>285</v>
      </c>
      <c r="H554" s="156" t="s">
        <v>61</v>
      </c>
      <c r="I554" s="157">
        <v>195874.23</v>
      </c>
      <c r="J554" s="160">
        <v>0.5</v>
      </c>
      <c r="K554" s="159">
        <f>MONTH(Tabela1[[#This Row],[Data da Venda]])</f>
        <v>7</v>
      </c>
      <c r="L554" s="159">
        <f>YEAR(Tabela1[[#This Row],[Data da Venda]])</f>
        <v>2013</v>
      </c>
    </row>
    <row r="555" spans="1:12" ht="15" hidden="1" customHeight="1">
      <c r="A555" s="149" t="s">
        <v>425</v>
      </c>
      <c r="B555" s="150" t="s">
        <v>404</v>
      </c>
      <c r="C555" s="155">
        <v>61</v>
      </c>
      <c r="D555" s="155" t="s">
        <v>328</v>
      </c>
      <c r="E555" s="155" t="s">
        <v>340</v>
      </c>
      <c r="F555" s="156">
        <v>41464</v>
      </c>
      <c r="G555" s="156" t="s">
        <v>286</v>
      </c>
      <c r="H555" s="156" t="s">
        <v>61</v>
      </c>
      <c r="I555" s="157">
        <v>195874.23</v>
      </c>
      <c r="J555" s="160">
        <v>0.5</v>
      </c>
      <c r="K555" s="159">
        <f>MONTH(Tabela1[[#This Row],[Data da Venda]])</f>
        <v>7</v>
      </c>
      <c r="L555" s="159">
        <f>YEAR(Tabela1[[#This Row],[Data da Venda]])</f>
        <v>2013</v>
      </c>
    </row>
    <row r="556" spans="1:12" ht="15" hidden="1" customHeight="1">
      <c r="A556" s="149" t="s">
        <v>425</v>
      </c>
      <c r="B556" s="150" t="s">
        <v>404</v>
      </c>
      <c r="C556" s="155">
        <v>15</v>
      </c>
      <c r="D556" s="155" t="s">
        <v>328</v>
      </c>
      <c r="E556" s="155" t="s">
        <v>340</v>
      </c>
      <c r="F556" s="156">
        <v>41465</v>
      </c>
      <c r="G556" s="156" t="s">
        <v>291</v>
      </c>
      <c r="H556" s="156" t="s">
        <v>61</v>
      </c>
      <c r="I556" s="157">
        <v>387928.86</v>
      </c>
      <c r="J556" s="160">
        <v>1</v>
      </c>
      <c r="K556" s="159">
        <f>MONTH(Tabela1[[#This Row],[Data da Venda]])</f>
        <v>7</v>
      </c>
      <c r="L556" s="159">
        <f>YEAR(Tabela1[[#This Row],[Data da Venda]])</f>
        <v>2013</v>
      </c>
    </row>
    <row r="557" spans="1:12" ht="15" hidden="1" customHeight="1">
      <c r="A557" s="149" t="s">
        <v>425</v>
      </c>
      <c r="B557" s="150" t="s">
        <v>404</v>
      </c>
      <c r="C557" s="155">
        <v>73</v>
      </c>
      <c r="D557" s="155" t="s">
        <v>328</v>
      </c>
      <c r="E557" s="155" t="s">
        <v>340</v>
      </c>
      <c r="F557" s="156">
        <v>41465</v>
      </c>
      <c r="G557" s="156" t="s">
        <v>198</v>
      </c>
      <c r="H557" s="156" t="s">
        <v>23</v>
      </c>
      <c r="I557" s="157">
        <v>522967.86</v>
      </c>
      <c r="J557" s="160">
        <v>1</v>
      </c>
      <c r="K557" s="159">
        <f>MONTH(Tabela1[[#This Row],[Data da Venda]])</f>
        <v>7</v>
      </c>
      <c r="L557" s="159">
        <f>YEAR(Tabela1[[#This Row],[Data da Venda]])</f>
        <v>2013</v>
      </c>
    </row>
    <row r="558" spans="1:12" ht="15" hidden="1" customHeight="1">
      <c r="A558" s="149" t="s">
        <v>208</v>
      </c>
      <c r="B558" s="150" t="s">
        <v>399</v>
      </c>
      <c r="C558" s="155">
        <v>173</v>
      </c>
      <c r="D558" s="155" t="s">
        <v>328</v>
      </c>
      <c r="E558" s="155" t="s">
        <v>339</v>
      </c>
      <c r="F558" s="156">
        <v>41466</v>
      </c>
      <c r="G558" s="156" t="s">
        <v>333</v>
      </c>
      <c r="H558" s="156" t="s">
        <v>24</v>
      </c>
      <c r="I558" s="157">
        <v>130000</v>
      </c>
      <c r="J558" s="160">
        <v>0.5</v>
      </c>
      <c r="K558" s="159">
        <f>MONTH(Tabela1[[#This Row],[Data da Venda]])</f>
        <v>7</v>
      </c>
      <c r="L558" s="159">
        <f>YEAR(Tabela1[[#This Row],[Data da Venda]])</f>
        <v>2013</v>
      </c>
    </row>
    <row r="559" spans="1:12" ht="15" hidden="1" customHeight="1">
      <c r="A559" s="149" t="s">
        <v>208</v>
      </c>
      <c r="B559" s="150" t="s">
        <v>399</v>
      </c>
      <c r="C559" s="155">
        <v>173</v>
      </c>
      <c r="D559" s="155" t="s">
        <v>328</v>
      </c>
      <c r="E559" s="155" t="s">
        <v>339</v>
      </c>
      <c r="F559" s="156">
        <v>41466</v>
      </c>
      <c r="G559" s="156" t="s">
        <v>334</v>
      </c>
      <c r="H559" s="156" t="s">
        <v>27</v>
      </c>
      <c r="I559" s="157">
        <v>130000</v>
      </c>
      <c r="J559" s="160">
        <v>0.5</v>
      </c>
      <c r="K559" s="159">
        <f>MONTH(Tabela1[[#This Row],[Data da Venda]])</f>
        <v>7</v>
      </c>
      <c r="L559" s="159">
        <f>YEAR(Tabela1[[#This Row],[Data da Venda]])</f>
        <v>2013</v>
      </c>
    </row>
    <row r="560" spans="1:12" ht="15" hidden="1" customHeight="1">
      <c r="A560" s="149" t="s">
        <v>432</v>
      </c>
      <c r="B560" s="150" t="s">
        <v>391</v>
      </c>
      <c r="C560" s="155">
        <v>51</v>
      </c>
      <c r="D560" s="155" t="s">
        <v>329</v>
      </c>
      <c r="E560" s="155" t="s">
        <v>339</v>
      </c>
      <c r="F560" s="156">
        <v>41466</v>
      </c>
      <c r="G560" s="156" t="s">
        <v>337</v>
      </c>
      <c r="H560" s="156" t="s">
        <v>33</v>
      </c>
      <c r="I560" s="157">
        <v>215000</v>
      </c>
      <c r="J560" s="160">
        <v>1</v>
      </c>
      <c r="K560" s="159">
        <f>MONTH(Tabela1[[#This Row],[Data da Venda]])</f>
        <v>7</v>
      </c>
      <c r="L560" s="159">
        <f>YEAR(Tabela1[[#This Row],[Data da Venda]])</f>
        <v>2013</v>
      </c>
    </row>
    <row r="561" spans="1:12" ht="15" hidden="1" customHeight="1">
      <c r="A561" s="149" t="s">
        <v>425</v>
      </c>
      <c r="B561" s="150" t="s">
        <v>404</v>
      </c>
      <c r="C561" s="155">
        <v>4</v>
      </c>
      <c r="D561" s="155" t="s">
        <v>328</v>
      </c>
      <c r="E561" s="155" t="s">
        <v>340</v>
      </c>
      <c r="F561" s="156">
        <v>41467</v>
      </c>
      <c r="G561" s="156" t="s">
        <v>291</v>
      </c>
      <c r="H561" s="156" t="s">
        <v>61</v>
      </c>
      <c r="I561" s="157">
        <v>402478.88</v>
      </c>
      <c r="J561" s="160">
        <v>1</v>
      </c>
      <c r="K561" s="159">
        <f>MONTH(Tabela1[[#This Row],[Data da Venda]])</f>
        <v>7</v>
      </c>
      <c r="L561" s="159">
        <f>YEAR(Tabela1[[#This Row],[Data da Venda]])</f>
        <v>2013</v>
      </c>
    </row>
    <row r="562" spans="1:12" ht="15" hidden="1" customHeight="1">
      <c r="A562" s="149" t="s">
        <v>419</v>
      </c>
      <c r="B562" s="150" t="s">
        <v>454</v>
      </c>
      <c r="C562" s="155">
        <v>308</v>
      </c>
      <c r="D562" s="155" t="s">
        <v>327</v>
      </c>
      <c r="E562" s="155" t="s">
        <v>327</v>
      </c>
      <c r="F562" s="156">
        <v>41467</v>
      </c>
      <c r="G562" s="156" t="s">
        <v>361</v>
      </c>
      <c r="H562" s="156" t="s">
        <v>362</v>
      </c>
      <c r="I562" s="157">
        <v>403806.89</v>
      </c>
      <c r="J562" s="160">
        <v>1</v>
      </c>
      <c r="K562" s="159">
        <f>MONTH(Tabela1[[#This Row],[Data da Venda]])</f>
        <v>7</v>
      </c>
      <c r="L562" s="159">
        <f>YEAR(Tabela1[[#This Row],[Data da Venda]])</f>
        <v>2013</v>
      </c>
    </row>
    <row r="563" spans="1:12" ht="15" hidden="1" customHeight="1">
      <c r="A563" s="149" t="s">
        <v>53</v>
      </c>
      <c r="B563" s="150" t="s">
        <v>414</v>
      </c>
      <c r="C563" s="155">
        <v>24</v>
      </c>
      <c r="D563" s="155" t="s">
        <v>328</v>
      </c>
      <c r="E563" s="155" t="s">
        <v>339</v>
      </c>
      <c r="F563" s="156">
        <v>41468</v>
      </c>
      <c r="G563" s="156" t="s">
        <v>194</v>
      </c>
      <c r="H563" s="156" t="s">
        <v>27</v>
      </c>
      <c r="I563" s="157">
        <v>543493</v>
      </c>
      <c r="J563" s="160">
        <v>1</v>
      </c>
      <c r="K563" s="159">
        <f>MONTH(Tabela1[[#This Row],[Data da Venda]])</f>
        <v>7</v>
      </c>
      <c r="L563" s="159">
        <f>YEAR(Tabela1[[#This Row],[Data da Venda]])</f>
        <v>2013</v>
      </c>
    </row>
    <row r="564" spans="1:12" ht="15" hidden="1" customHeight="1">
      <c r="A564" s="149" t="s">
        <v>415</v>
      </c>
      <c r="B564" s="150" t="s">
        <v>416</v>
      </c>
      <c r="C564" s="155">
        <v>2102</v>
      </c>
      <c r="D564" s="155" t="s">
        <v>328</v>
      </c>
      <c r="E564" s="155" t="s">
        <v>340</v>
      </c>
      <c r="F564" s="156">
        <v>41469</v>
      </c>
      <c r="G564" s="156" t="s">
        <v>332</v>
      </c>
      <c r="H564" s="156" t="s">
        <v>26</v>
      </c>
      <c r="I564" s="157">
        <v>347100</v>
      </c>
      <c r="J564" s="160">
        <v>1</v>
      </c>
      <c r="K564" s="159">
        <f>MONTH(Tabela1[[#This Row],[Data da Venda]])</f>
        <v>7</v>
      </c>
      <c r="L564" s="159">
        <f>YEAR(Tabela1[[#This Row],[Data da Venda]])</f>
        <v>2013</v>
      </c>
    </row>
    <row r="565" spans="1:12" ht="15" hidden="1" customHeight="1">
      <c r="A565" s="149" t="s">
        <v>433</v>
      </c>
      <c r="B565" s="150" t="s">
        <v>434</v>
      </c>
      <c r="C565" s="155">
        <v>162</v>
      </c>
      <c r="D565" s="155" t="s">
        <v>329</v>
      </c>
      <c r="E565" s="155" t="s">
        <v>339</v>
      </c>
      <c r="F565" s="156">
        <v>41470</v>
      </c>
      <c r="G565" s="156" t="s">
        <v>463</v>
      </c>
      <c r="H565" s="156" t="s">
        <v>33</v>
      </c>
      <c r="I565" s="157">
        <v>2307800.1</v>
      </c>
      <c r="J565" s="160">
        <v>1</v>
      </c>
      <c r="K565" s="159">
        <f>MONTH(Tabela1[[#This Row],[Data da Venda]])</f>
        <v>7</v>
      </c>
      <c r="L565" s="159">
        <f>YEAR(Tabela1[[#This Row],[Data da Venda]])</f>
        <v>2013</v>
      </c>
    </row>
    <row r="566" spans="1:12" ht="15" hidden="1" customHeight="1">
      <c r="A566" s="149" t="s">
        <v>425</v>
      </c>
      <c r="B566" s="150" t="s">
        <v>393</v>
      </c>
      <c r="C566" s="155">
        <v>17</v>
      </c>
      <c r="D566" s="155" t="s">
        <v>328</v>
      </c>
      <c r="E566" s="155" t="s">
        <v>340</v>
      </c>
      <c r="F566" s="156">
        <v>41471</v>
      </c>
      <c r="G566" s="156" t="s">
        <v>283</v>
      </c>
      <c r="H566" s="157" t="s">
        <v>26</v>
      </c>
      <c r="I566" s="157">
        <v>466064.53</v>
      </c>
      <c r="J566" s="160">
        <v>1</v>
      </c>
      <c r="K566" s="159">
        <f>MONTH(Tabela1[[#This Row],[Data da Venda]])</f>
        <v>7</v>
      </c>
      <c r="L566" s="159">
        <f>YEAR(Tabela1[[#This Row],[Data da Venda]])</f>
        <v>2013</v>
      </c>
    </row>
    <row r="567" spans="1:12" ht="15" hidden="1" customHeight="1">
      <c r="A567" s="149" t="s">
        <v>182</v>
      </c>
      <c r="B567" s="150" t="s">
        <v>400</v>
      </c>
      <c r="C567" s="155">
        <v>31</v>
      </c>
      <c r="D567" s="155" t="s">
        <v>329</v>
      </c>
      <c r="E567" s="155" t="s">
        <v>339</v>
      </c>
      <c r="F567" s="156">
        <v>41471</v>
      </c>
      <c r="G567" s="156" t="s">
        <v>337</v>
      </c>
      <c r="H567" s="157" t="s">
        <v>33</v>
      </c>
      <c r="I567" s="157">
        <v>105683.02</v>
      </c>
      <c r="J567" s="160">
        <v>0.5</v>
      </c>
      <c r="K567" s="159">
        <f>MONTH(Tabela1[[#This Row],[Data da Venda]])</f>
        <v>7</v>
      </c>
      <c r="L567" s="159">
        <f>YEAR(Tabela1[[#This Row],[Data da Venda]])</f>
        <v>2013</v>
      </c>
    </row>
    <row r="568" spans="1:12" ht="15" hidden="1" customHeight="1">
      <c r="A568" s="149" t="s">
        <v>182</v>
      </c>
      <c r="B568" s="150" t="s">
        <v>400</v>
      </c>
      <c r="C568" s="155">
        <v>31</v>
      </c>
      <c r="D568" s="155" t="s">
        <v>329</v>
      </c>
      <c r="E568" s="155" t="s">
        <v>339</v>
      </c>
      <c r="F568" s="156">
        <v>41471</v>
      </c>
      <c r="G568" s="156" t="s">
        <v>465</v>
      </c>
      <c r="H568" s="156" t="s">
        <v>33</v>
      </c>
      <c r="I568" s="157">
        <v>105683.02</v>
      </c>
      <c r="J568" s="160">
        <v>0.5</v>
      </c>
      <c r="K568" s="159">
        <f>MONTH(Tabela1[[#This Row],[Data da Venda]])</f>
        <v>7</v>
      </c>
      <c r="L568" s="159">
        <f>YEAR(Tabela1[[#This Row],[Data da Venda]])</f>
        <v>2013</v>
      </c>
    </row>
    <row r="569" spans="1:12" ht="15" hidden="1" customHeight="1">
      <c r="A569" s="149" t="s">
        <v>419</v>
      </c>
      <c r="B569" s="150" t="s">
        <v>454</v>
      </c>
      <c r="C569" s="155">
        <v>501</v>
      </c>
      <c r="D569" s="155" t="s">
        <v>327</v>
      </c>
      <c r="E569" s="155" t="s">
        <v>327</v>
      </c>
      <c r="F569" s="156">
        <v>41471</v>
      </c>
      <c r="G569" s="156" t="s">
        <v>360</v>
      </c>
      <c r="H569" s="156" t="s">
        <v>362</v>
      </c>
      <c r="I569" s="157">
        <v>602843.42000000004</v>
      </c>
      <c r="J569" s="160">
        <v>1</v>
      </c>
      <c r="K569" s="159">
        <f>MONTH(Tabela1[[#This Row],[Data da Venda]])</f>
        <v>7</v>
      </c>
      <c r="L569" s="159">
        <f>YEAR(Tabela1[[#This Row],[Data da Venda]])</f>
        <v>2013</v>
      </c>
    </row>
    <row r="570" spans="1:12" ht="15" hidden="1" customHeight="1">
      <c r="A570" s="149" t="s">
        <v>425</v>
      </c>
      <c r="B570" s="150" t="s">
        <v>404</v>
      </c>
      <c r="C570" s="155">
        <v>22</v>
      </c>
      <c r="D570" s="155" t="s">
        <v>328</v>
      </c>
      <c r="E570" s="155" t="s">
        <v>340</v>
      </c>
      <c r="F570" s="156">
        <v>41472</v>
      </c>
      <c r="G570" s="156" t="s">
        <v>196</v>
      </c>
      <c r="H570" s="156" t="s">
        <v>24</v>
      </c>
      <c r="I570" s="157">
        <v>444878.64</v>
      </c>
      <c r="J570" s="160">
        <v>1</v>
      </c>
      <c r="K570" s="159">
        <f>MONTH(Tabela1[[#This Row],[Data da Venda]])</f>
        <v>7</v>
      </c>
      <c r="L570" s="159">
        <f>YEAR(Tabela1[[#This Row],[Data da Venda]])</f>
        <v>2013</v>
      </c>
    </row>
    <row r="571" spans="1:12" ht="15" hidden="1" customHeight="1">
      <c r="A571" s="149" t="s">
        <v>415</v>
      </c>
      <c r="B571" s="150" t="s">
        <v>416</v>
      </c>
      <c r="C571" s="155">
        <v>2306</v>
      </c>
      <c r="D571" s="155" t="s">
        <v>328</v>
      </c>
      <c r="E571" s="155" t="s">
        <v>340</v>
      </c>
      <c r="F571" s="156">
        <v>41472</v>
      </c>
      <c r="G571" s="156" t="s">
        <v>198</v>
      </c>
      <c r="H571" s="157" t="s">
        <v>23</v>
      </c>
      <c r="I571" s="157">
        <v>419041</v>
      </c>
      <c r="J571" s="160">
        <v>1</v>
      </c>
      <c r="K571" s="159">
        <f>MONTH(Tabela1[[#This Row],[Data da Venda]])</f>
        <v>7</v>
      </c>
      <c r="L571" s="159">
        <f>YEAR(Tabela1[[#This Row],[Data da Venda]])</f>
        <v>2013</v>
      </c>
    </row>
    <row r="572" spans="1:12" ht="15" hidden="1" customHeight="1">
      <c r="A572" s="149" t="s">
        <v>191</v>
      </c>
      <c r="B572" s="150" t="s">
        <v>435</v>
      </c>
      <c r="C572" s="155">
        <v>162</v>
      </c>
      <c r="D572" s="155" t="s">
        <v>328</v>
      </c>
      <c r="E572" s="155" t="s">
        <v>339</v>
      </c>
      <c r="F572" s="156">
        <v>41473</v>
      </c>
      <c r="G572" s="156" t="s">
        <v>296</v>
      </c>
      <c r="H572" s="157" t="s">
        <v>23</v>
      </c>
      <c r="I572" s="157">
        <v>125000</v>
      </c>
      <c r="J572" s="160">
        <v>0.5</v>
      </c>
      <c r="K572" s="159">
        <f>MONTH(Tabela1[[#This Row],[Data da Venda]])</f>
        <v>7</v>
      </c>
      <c r="L572" s="159">
        <f>YEAR(Tabela1[[#This Row],[Data da Venda]])</f>
        <v>2013</v>
      </c>
    </row>
    <row r="573" spans="1:12" ht="15" hidden="1" customHeight="1">
      <c r="A573" s="149" t="s">
        <v>191</v>
      </c>
      <c r="B573" s="150" t="s">
        <v>435</v>
      </c>
      <c r="C573" s="155">
        <v>162</v>
      </c>
      <c r="D573" s="155" t="s">
        <v>328</v>
      </c>
      <c r="E573" s="155" t="s">
        <v>339</v>
      </c>
      <c r="F573" s="156">
        <v>41473</v>
      </c>
      <c r="G573" s="156" t="s">
        <v>19</v>
      </c>
      <c r="H573" s="157" t="s">
        <v>27</v>
      </c>
      <c r="I573" s="157">
        <v>125000</v>
      </c>
      <c r="J573" s="160">
        <v>0.5</v>
      </c>
      <c r="K573" s="159">
        <f>MONTH(Tabela1[[#This Row],[Data da Venda]])</f>
        <v>7</v>
      </c>
      <c r="L573" s="159">
        <f>YEAR(Tabela1[[#This Row],[Data da Venda]])</f>
        <v>2013</v>
      </c>
    </row>
    <row r="574" spans="1:12" ht="15" hidden="1" customHeight="1">
      <c r="A574" s="149" t="s">
        <v>432</v>
      </c>
      <c r="B574" s="150" t="s">
        <v>412</v>
      </c>
      <c r="C574" s="155">
        <v>33</v>
      </c>
      <c r="D574" s="155" t="s">
        <v>328</v>
      </c>
      <c r="E574" s="155" t="s">
        <v>339</v>
      </c>
      <c r="F574" s="156">
        <v>41473</v>
      </c>
      <c r="G574" s="156" t="s">
        <v>18</v>
      </c>
      <c r="H574" s="156" t="s">
        <v>25</v>
      </c>
      <c r="I574" s="157">
        <v>186383</v>
      </c>
      <c r="J574" s="160">
        <v>1</v>
      </c>
      <c r="K574" s="159">
        <f>MONTH(Tabela1[[#This Row],[Data da Venda]])</f>
        <v>7</v>
      </c>
      <c r="L574" s="159">
        <f>YEAR(Tabela1[[#This Row],[Data da Venda]])</f>
        <v>2013</v>
      </c>
    </row>
    <row r="575" spans="1:12" ht="15" hidden="1" customHeight="1">
      <c r="A575" s="151" t="s">
        <v>186</v>
      </c>
      <c r="B575" s="150" t="s">
        <v>418</v>
      </c>
      <c r="C575" s="155">
        <v>110</v>
      </c>
      <c r="D575" s="155" t="s">
        <v>328</v>
      </c>
      <c r="E575" s="155" t="s">
        <v>339</v>
      </c>
      <c r="F575" s="156">
        <v>41477</v>
      </c>
      <c r="G575" s="156" t="s">
        <v>198</v>
      </c>
      <c r="H575" s="157" t="s">
        <v>23</v>
      </c>
      <c r="I575" s="157">
        <v>434712</v>
      </c>
      <c r="J575" s="160">
        <v>1</v>
      </c>
      <c r="K575" s="159">
        <f>MONTH(Tabela1[[#This Row],[Data da Venda]])</f>
        <v>7</v>
      </c>
      <c r="L575" s="159">
        <f>YEAR(Tabela1[[#This Row],[Data da Venda]])</f>
        <v>2013</v>
      </c>
    </row>
    <row r="576" spans="1:12" ht="15" hidden="1" customHeight="1">
      <c r="A576" s="149" t="s">
        <v>415</v>
      </c>
      <c r="B576" s="150" t="s">
        <v>416</v>
      </c>
      <c r="C576" s="155">
        <v>1916</v>
      </c>
      <c r="D576" s="155" t="s">
        <v>328</v>
      </c>
      <c r="E576" s="155" t="s">
        <v>340</v>
      </c>
      <c r="F576" s="156">
        <v>41478</v>
      </c>
      <c r="G576" s="156" t="s">
        <v>62</v>
      </c>
      <c r="H576" s="156" t="s">
        <v>25</v>
      </c>
      <c r="I576" s="157">
        <v>360000</v>
      </c>
      <c r="J576" s="160">
        <v>1</v>
      </c>
      <c r="K576" s="159">
        <f>MONTH(Tabela1[[#This Row],[Data da Venda]])</f>
        <v>7</v>
      </c>
      <c r="L576" s="159">
        <f>YEAR(Tabela1[[#This Row],[Data da Venda]])</f>
        <v>2013</v>
      </c>
    </row>
    <row r="577" spans="1:12" ht="15" hidden="1" customHeight="1">
      <c r="A577" s="149" t="s">
        <v>191</v>
      </c>
      <c r="B577" s="150" t="s">
        <v>435</v>
      </c>
      <c r="C577" s="155">
        <v>156</v>
      </c>
      <c r="D577" s="155" t="s">
        <v>328</v>
      </c>
      <c r="E577" s="155" t="s">
        <v>339</v>
      </c>
      <c r="F577" s="156">
        <v>41478</v>
      </c>
      <c r="G577" s="156" t="s">
        <v>197</v>
      </c>
      <c r="H577" s="157" t="s">
        <v>79</v>
      </c>
      <c r="I577" s="157">
        <v>275138.71000000002</v>
      </c>
      <c r="J577" s="160">
        <v>1</v>
      </c>
      <c r="K577" s="159">
        <f>MONTH(Tabela1[[#This Row],[Data da Venda]])</f>
        <v>7</v>
      </c>
      <c r="L577" s="159">
        <f>YEAR(Tabela1[[#This Row],[Data da Venda]])</f>
        <v>2013</v>
      </c>
    </row>
    <row r="578" spans="1:12" ht="15" hidden="1" customHeight="1">
      <c r="A578" s="149" t="s">
        <v>53</v>
      </c>
      <c r="B578" s="150" t="s">
        <v>414</v>
      </c>
      <c r="C578" s="155">
        <v>113</v>
      </c>
      <c r="D578" s="155" t="s">
        <v>328</v>
      </c>
      <c r="E578" s="155" t="s">
        <v>339</v>
      </c>
      <c r="F578" s="156">
        <v>41478</v>
      </c>
      <c r="G578" s="156" t="s">
        <v>47</v>
      </c>
      <c r="H578" s="156" t="s">
        <v>25</v>
      </c>
      <c r="I578" s="157">
        <v>724550</v>
      </c>
      <c r="J578" s="160">
        <v>1</v>
      </c>
      <c r="K578" s="159">
        <f>MONTH(Tabela1[[#This Row],[Data da Venda]])</f>
        <v>7</v>
      </c>
      <c r="L578" s="159">
        <f>YEAR(Tabela1[[#This Row],[Data da Venda]])</f>
        <v>2013</v>
      </c>
    </row>
    <row r="579" spans="1:12" ht="15" hidden="1" customHeight="1">
      <c r="A579" s="149" t="s">
        <v>53</v>
      </c>
      <c r="B579" s="150" t="s">
        <v>414</v>
      </c>
      <c r="C579" s="155">
        <v>123</v>
      </c>
      <c r="D579" s="155" t="s">
        <v>328</v>
      </c>
      <c r="E579" s="155" t="s">
        <v>339</v>
      </c>
      <c r="F579" s="156">
        <v>41478</v>
      </c>
      <c r="G579" s="156" t="s">
        <v>47</v>
      </c>
      <c r="H579" s="156" t="s">
        <v>25</v>
      </c>
      <c r="I579" s="157">
        <v>724550</v>
      </c>
      <c r="J579" s="160">
        <v>1</v>
      </c>
      <c r="K579" s="159">
        <f>MONTH(Tabela1[[#This Row],[Data da Venda]])</f>
        <v>7</v>
      </c>
      <c r="L579" s="159">
        <f>YEAR(Tabela1[[#This Row],[Data da Venda]])</f>
        <v>2013</v>
      </c>
    </row>
    <row r="580" spans="1:12" ht="15" hidden="1" customHeight="1">
      <c r="A580" s="151" t="s">
        <v>186</v>
      </c>
      <c r="B580" s="150" t="s">
        <v>418</v>
      </c>
      <c r="C580" s="155">
        <v>705</v>
      </c>
      <c r="D580" s="155" t="s">
        <v>328</v>
      </c>
      <c r="E580" s="155" t="s">
        <v>339</v>
      </c>
      <c r="F580" s="156">
        <v>41478</v>
      </c>
      <c r="G580" s="156" t="s">
        <v>257</v>
      </c>
      <c r="H580" s="156" t="s">
        <v>24</v>
      </c>
      <c r="I580" s="157">
        <v>400010.92</v>
      </c>
      <c r="J580" s="160">
        <v>1</v>
      </c>
      <c r="K580" s="159">
        <f>MONTH(Tabela1[[#This Row],[Data da Venda]])</f>
        <v>7</v>
      </c>
      <c r="L580" s="159">
        <f>YEAR(Tabela1[[#This Row],[Data da Venda]])</f>
        <v>2013</v>
      </c>
    </row>
    <row r="581" spans="1:12" ht="15" hidden="1" customHeight="1">
      <c r="A581" s="149" t="s">
        <v>415</v>
      </c>
      <c r="B581" s="150" t="s">
        <v>416</v>
      </c>
      <c r="C581" s="155">
        <v>2314</v>
      </c>
      <c r="D581" s="155" t="s">
        <v>328</v>
      </c>
      <c r="E581" s="155" t="s">
        <v>340</v>
      </c>
      <c r="F581" s="156">
        <v>41478</v>
      </c>
      <c r="G581" s="156" t="s">
        <v>62</v>
      </c>
      <c r="H581" s="156" t="s">
        <v>25</v>
      </c>
      <c r="I581" s="157">
        <v>365700</v>
      </c>
      <c r="J581" s="160">
        <v>1</v>
      </c>
      <c r="K581" s="159">
        <f>MONTH(Tabela1[[#This Row],[Data da Venda]])</f>
        <v>7</v>
      </c>
      <c r="L581" s="159">
        <f>YEAR(Tabela1[[#This Row],[Data da Venda]])</f>
        <v>2013</v>
      </c>
    </row>
    <row r="582" spans="1:12" ht="15" hidden="1" customHeight="1">
      <c r="A582" s="149" t="s">
        <v>422</v>
      </c>
      <c r="B582" s="264" t="s">
        <v>509</v>
      </c>
      <c r="C582" s="155">
        <v>214</v>
      </c>
      <c r="D582" s="155" t="s">
        <v>327</v>
      </c>
      <c r="E582" s="155" t="s">
        <v>327</v>
      </c>
      <c r="F582" s="156">
        <v>41481</v>
      </c>
      <c r="G582" s="156" t="s">
        <v>368</v>
      </c>
      <c r="H582" s="156" t="s">
        <v>362</v>
      </c>
      <c r="I582" s="157">
        <v>1011891.14</v>
      </c>
      <c r="J582" s="160">
        <v>1</v>
      </c>
      <c r="K582" s="159">
        <f>MONTH(Tabela1[[#This Row],[Data da Venda]])</f>
        <v>7</v>
      </c>
      <c r="L582" s="159">
        <f>YEAR(Tabela1[[#This Row],[Data da Venda]])</f>
        <v>2013</v>
      </c>
    </row>
    <row r="583" spans="1:12" ht="15" hidden="1" customHeight="1">
      <c r="A583" s="149" t="s">
        <v>233</v>
      </c>
      <c r="B583" s="150" t="s">
        <v>428</v>
      </c>
      <c r="C583" s="155">
        <v>163</v>
      </c>
      <c r="D583" s="155" t="s">
        <v>328</v>
      </c>
      <c r="E583" s="155" t="s">
        <v>339</v>
      </c>
      <c r="F583" s="156">
        <v>41481</v>
      </c>
      <c r="G583" s="156" t="s">
        <v>147</v>
      </c>
      <c r="H583" s="157" t="s">
        <v>26</v>
      </c>
      <c r="I583" s="157">
        <v>371619.29</v>
      </c>
      <c r="J583" s="160">
        <v>1</v>
      </c>
      <c r="K583" s="159">
        <f>MONTH(Tabela1[[#This Row],[Data da Venda]])</f>
        <v>7</v>
      </c>
      <c r="L583" s="159">
        <f>YEAR(Tabela1[[#This Row],[Data da Venda]])</f>
        <v>2013</v>
      </c>
    </row>
    <row r="584" spans="1:12" ht="15" hidden="1" customHeight="1">
      <c r="A584" s="149" t="s">
        <v>415</v>
      </c>
      <c r="B584" s="150" t="s">
        <v>416</v>
      </c>
      <c r="C584" s="155">
        <v>1403</v>
      </c>
      <c r="D584" s="155" t="s">
        <v>328</v>
      </c>
      <c r="E584" s="155" t="s">
        <v>340</v>
      </c>
      <c r="F584" s="156">
        <v>41483</v>
      </c>
      <c r="G584" s="156" t="s">
        <v>366</v>
      </c>
      <c r="H584" s="156" t="s">
        <v>24</v>
      </c>
      <c r="I584" s="157">
        <v>373800</v>
      </c>
      <c r="J584" s="160">
        <v>1</v>
      </c>
      <c r="K584" s="159">
        <f>MONTH(Tabela1[[#This Row],[Data da Venda]])</f>
        <v>7</v>
      </c>
      <c r="L584" s="159">
        <f>YEAR(Tabela1[[#This Row],[Data da Venda]])</f>
        <v>2013</v>
      </c>
    </row>
    <row r="585" spans="1:12" ht="15" hidden="1" customHeight="1">
      <c r="A585" s="149" t="s">
        <v>422</v>
      </c>
      <c r="B585" s="150" t="s">
        <v>405</v>
      </c>
      <c r="C585" s="155">
        <v>93</v>
      </c>
      <c r="D585" s="155" t="s">
        <v>328</v>
      </c>
      <c r="E585" s="155" t="s">
        <v>339</v>
      </c>
      <c r="F585" s="156">
        <v>41483</v>
      </c>
      <c r="G585" s="156" t="s">
        <v>367</v>
      </c>
      <c r="H585" s="157" t="s">
        <v>27</v>
      </c>
      <c r="I585" s="157">
        <v>726639.25</v>
      </c>
      <c r="J585" s="160">
        <v>1</v>
      </c>
      <c r="K585" s="159">
        <f>MONTH(Tabela1[[#This Row],[Data da Venda]])</f>
        <v>7</v>
      </c>
      <c r="L585" s="159">
        <f>YEAR(Tabela1[[#This Row],[Data da Venda]])</f>
        <v>2013</v>
      </c>
    </row>
    <row r="586" spans="1:12" ht="15" hidden="1" customHeight="1">
      <c r="A586" s="149" t="s">
        <v>415</v>
      </c>
      <c r="B586" s="150" t="s">
        <v>416</v>
      </c>
      <c r="C586" s="155">
        <v>2116</v>
      </c>
      <c r="D586" s="155" t="s">
        <v>328</v>
      </c>
      <c r="E586" s="155" t="s">
        <v>340</v>
      </c>
      <c r="F586" s="156">
        <v>41484</v>
      </c>
      <c r="G586" s="156" t="s">
        <v>366</v>
      </c>
      <c r="H586" s="156" t="s">
        <v>24</v>
      </c>
      <c r="I586" s="157">
        <v>343103.35</v>
      </c>
      <c r="J586" s="160">
        <v>1</v>
      </c>
      <c r="K586" s="159">
        <f>MONTH(Tabela1[[#This Row],[Data da Venda]])</f>
        <v>7</v>
      </c>
      <c r="L586" s="159">
        <f>YEAR(Tabela1[[#This Row],[Data da Venda]])</f>
        <v>2013</v>
      </c>
    </row>
    <row r="587" spans="1:12" ht="15" hidden="1" customHeight="1">
      <c r="A587" s="149" t="s">
        <v>191</v>
      </c>
      <c r="B587" s="150" t="s">
        <v>385</v>
      </c>
      <c r="C587" s="155">
        <v>36</v>
      </c>
      <c r="D587" s="155" t="s">
        <v>327</v>
      </c>
      <c r="E587" s="155" t="s">
        <v>327</v>
      </c>
      <c r="F587" s="156">
        <v>41485</v>
      </c>
      <c r="G587" s="156" t="s">
        <v>360</v>
      </c>
      <c r="H587" s="156" t="s">
        <v>362</v>
      </c>
      <c r="I587" s="157">
        <v>243927</v>
      </c>
      <c r="J587" s="160">
        <v>1</v>
      </c>
      <c r="K587" s="159">
        <f>MONTH(Tabela1[[#This Row],[Data da Venda]])</f>
        <v>7</v>
      </c>
      <c r="L587" s="159">
        <f>YEAR(Tabela1[[#This Row],[Data da Venda]])</f>
        <v>2013</v>
      </c>
    </row>
    <row r="588" spans="1:12" ht="15" hidden="1" customHeight="1">
      <c r="A588" s="149" t="s">
        <v>415</v>
      </c>
      <c r="B588" s="150" t="s">
        <v>416</v>
      </c>
      <c r="C588" s="155">
        <v>1904</v>
      </c>
      <c r="D588" s="155" t="s">
        <v>328</v>
      </c>
      <c r="E588" s="155" t="s">
        <v>340</v>
      </c>
      <c r="F588" s="156">
        <v>41486</v>
      </c>
      <c r="G588" s="156" t="s">
        <v>263</v>
      </c>
      <c r="H588" s="157" t="s">
        <v>23</v>
      </c>
      <c r="I588" s="157">
        <v>432000</v>
      </c>
      <c r="J588" s="160">
        <v>1</v>
      </c>
      <c r="K588" s="159">
        <f>MONTH(Tabela1[[#This Row],[Data da Venda]])</f>
        <v>7</v>
      </c>
      <c r="L588" s="159">
        <f>YEAR(Tabela1[[#This Row],[Data da Venda]])</f>
        <v>2013</v>
      </c>
    </row>
    <row r="589" spans="1:12" ht="15" hidden="1" customHeight="1">
      <c r="A589" s="149" t="s">
        <v>53</v>
      </c>
      <c r="B589" s="150" t="s">
        <v>414</v>
      </c>
      <c r="C589" s="155">
        <v>34</v>
      </c>
      <c r="D589" s="155" t="s">
        <v>328</v>
      </c>
      <c r="E589" s="155" t="s">
        <v>339</v>
      </c>
      <c r="F589" s="156">
        <v>41486</v>
      </c>
      <c r="G589" s="156" t="s">
        <v>369</v>
      </c>
      <c r="H589" s="156" t="s">
        <v>25</v>
      </c>
      <c r="I589" s="157">
        <v>485000</v>
      </c>
      <c r="J589" s="160">
        <v>1</v>
      </c>
      <c r="K589" s="159">
        <f>MONTH(Tabela1[[#This Row],[Data da Venda]])</f>
        <v>7</v>
      </c>
      <c r="L589" s="159">
        <f>YEAR(Tabela1[[#This Row],[Data da Venda]])</f>
        <v>2013</v>
      </c>
    </row>
    <row r="590" spans="1:12" ht="15" hidden="1" customHeight="1">
      <c r="A590" s="149" t="s">
        <v>419</v>
      </c>
      <c r="B590" s="150" t="s">
        <v>454</v>
      </c>
      <c r="C590" s="155">
        <v>611</v>
      </c>
      <c r="D590" s="155" t="s">
        <v>327</v>
      </c>
      <c r="E590" s="155" t="s">
        <v>327</v>
      </c>
      <c r="F590" s="156">
        <v>41486</v>
      </c>
      <c r="G590" s="156" t="s">
        <v>360</v>
      </c>
      <c r="H590" s="156" t="s">
        <v>362</v>
      </c>
      <c r="I590" s="157">
        <v>403035.61</v>
      </c>
      <c r="J590" s="160">
        <v>1</v>
      </c>
      <c r="K590" s="159">
        <f>MONTH(Tabela1[[#This Row],[Data da Venda]])</f>
        <v>7</v>
      </c>
      <c r="L590" s="159">
        <f>YEAR(Tabela1[[#This Row],[Data da Venda]])</f>
        <v>2013</v>
      </c>
    </row>
    <row r="591" spans="1:12" ht="15" hidden="1" customHeight="1">
      <c r="A591" s="149" t="s">
        <v>415</v>
      </c>
      <c r="B591" s="150" t="s">
        <v>416</v>
      </c>
      <c r="C591" s="155">
        <v>1205</v>
      </c>
      <c r="D591" s="155" t="s">
        <v>328</v>
      </c>
      <c r="E591" s="155" t="s">
        <v>340</v>
      </c>
      <c r="F591" s="156">
        <v>41487</v>
      </c>
      <c r="G591" s="156" t="s">
        <v>370</v>
      </c>
      <c r="H591" s="156" t="s">
        <v>24</v>
      </c>
      <c r="I591" s="157">
        <v>285000</v>
      </c>
      <c r="J591" s="160">
        <v>0.5</v>
      </c>
      <c r="K591" s="159">
        <f>MONTH(Tabela1[[#This Row],[Data da Venda]])</f>
        <v>8</v>
      </c>
      <c r="L591" s="159">
        <f>YEAR(Tabela1[[#This Row],[Data da Venda]])</f>
        <v>2013</v>
      </c>
    </row>
    <row r="592" spans="1:12" ht="15" hidden="1" customHeight="1">
      <c r="A592" s="149" t="s">
        <v>415</v>
      </c>
      <c r="B592" s="150" t="s">
        <v>416</v>
      </c>
      <c r="C592" s="155">
        <v>1205</v>
      </c>
      <c r="D592" s="155" t="s">
        <v>328</v>
      </c>
      <c r="E592" s="155" t="s">
        <v>340</v>
      </c>
      <c r="F592" s="156">
        <v>41487</v>
      </c>
      <c r="G592" s="156" t="s">
        <v>307</v>
      </c>
      <c r="H592" s="156" t="s">
        <v>24</v>
      </c>
      <c r="I592" s="157">
        <v>285000</v>
      </c>
      <c r="J592" s="160">
        <v>0.5</v>
      </c>
      <c r="K592" s="159">
        <f>MONTH(Tabela1[[#This Row],[Data da Venda]])</f>
        <v>8</v>
      </c>
      <c r="L592" s="159">
        <f>YEAR(Tabela1[[#This Row],[Data da Venda]])</f>
        <v>2013</v>
      </c>
    </row>
    <row r="593" spans="1:12" ht="15" hidden="1" customHeight="1">
      <c r="A593" s="149" t="s">
        <v>208</v>
      </c>
      <c r="B593" s="150" t="s">
        <v>388</v>
      </c>
      <c r="C593" s="155">
        <v>58</v>
      </c>
      <c r="D593" s="155" t="s">
        <v>328</v>
      </c>
      <c r="E593" s="155" t="s">
        <v>339</v>
      </c>
      <c r="F593" s="156">
        <v>41487</v>
      </c>
      <c r="G593" s="156" t="s">
        <v>39</v>
      </c>
      <c r="H593" s="157" t="s">
        <v>27</v>
      </c>
      <c r="I593" s="157">
        <v>261000</v>
      </c>
      <c r="J593" s="160">
        <v>1</v>
      </c>
      <c r="K593" s="159">
        <f>MONTH(Tabela1[[#This Row],[Data da Venda]])</f>
        <v>8</v>
      </c>
      <c r="L593" s="159">
        <f>YEAR(Tabela1[[#This Row],[Data da Venda]])</f>
        <v>2013</v>
      </c>
    </row>
    <row r="594" spans="1:12" ht="15" hidden="1" customHeight="1">
      <c r="A594" s="151" t="s">
        <v>81</v>
      </c>
      <c r="B594" s="150" t="s">
        <v>446</v>
      </c>
      <c r="C594" s="155">
        <v>33</v>
      </c>
      <c r="D594" s="155" t="s">
        <v>328</v>
      </c>
      <c r="E594" s="155" t="s">
        <v>339</v>
      </c>
      <c r="F594" s="156">
        <v>41487</v>
      </c>
      <c r="G594" s="156" t="s">
        <v>307</v>
      </c>
      <c r="H594" s="156" t="s">
        <v>24</v>
      </c>
      <c r="I594" s="157">
        <v>208500</v>
      </c>
      <c r="J594" s="160">
        <v>0.5</v>
      </c>
      <c r="K594" s="159">
        <f>MONTH(Tabela1[[#This Row],[Data da Venda]])</f>
        <v>8</v>
      </c>
      <c r="L594" s="159">
        <f>YEAR(Tabela1[[#This Row],[Data da Venda]])</f>
        <v>2013</v>
      </c>
    </row>
    <row r="595" spans="1:12" ht="15" hidden="1" customHeight="1">
      <c r="A595" s="151" t="s">
        <v>81</v>
      </c>
      <c r="B595" s="150" t="s">
        <v>446</v>
      </c>
      <c r="C595" s="155">
        <v>53</v>
      </c>
      <c r="D595" s="155" t="s">
        <v>328</v>
      </c>
      <c r="E595" s="155" t="s">
        <v>339</v>
      </c>
      <c r="F595" s="156">
        <v>41487</v>
      </c>
      <c r="G595" s="156" t="s">
        <v>307</v>
      </c>
      <c r="H595" s="156" t="s">
        <v>24</v>
      </c>
      <c r="I595" s="157">
        <v>215500</v>
      </c>
      <c r="J595" s="160">
        <v>0.5</v>
      </c>
      <c r="K595" s="159">
        <f>MONTH(Tabela1[[#This Row],[Data da Venda]])</f>
        <v>8</v>
      </c>
      <c r="L595" s="159">
        <f>YEAR(Tabela1[[#This Row],[Data da Venda]])</f>
        <v>2013</v>
      </c>
    </row>
    <row r="596" spans="1:12" ht="15" hidden="1" customHeight="1">
      <c r="A596" s="151" t="s">
        <v>81</v>
      </c>
      <c r="B596" s="150" t="s">
        <v>446</v>
      </c>
      <c r="C596" s="155">
        <v>122</v>
      </c>
      <c r="D596" s="155" t="s">
        <v>328</v>
      </c>
      <c r="E596" s="155" t="s">
        <v>339</v>
      </c>
      <c r="F596" s="156">
        <v>41487</v>
      </c>
      <c r="G596" s="156" t="s">
        <v>306</v>
      </c>
      <c r="H596" s="157" t="s">
        <v>23</v>
      </c>
      <c r="I596" s="157">
        <v>450000</v>
      </c>
      <c r="J596" s="160">
        <v>1</v>
      </c>
      <c r="K596" s="159">
        <f>MONTH(Tabela1[[#This Row],[Data da Venda]])</f>
        <v>8</v>
      </c>
      <c r="L596" s="159">
        <f>YEAR(Tabela1[[#This Row],[Data da Venda]])</f>
        <v>2013</v>
      </c>
    </row>
    <row r="597" spans="1:12" ht="15" hidden="1" customHeight="1">
      <c r="A597" s="149" t="s">
        <v>415</v>
      </c>
      <c r="B597" s="150" t="s">
        <v>416</v>
      </c>
      <c r="C597" s="155">
        <v>2516</v>
      </c>
      <c r="D597" s="155" t="s">
        <v>328</v>
      </c>
      <c r="E597" s="155" t="s">
        <v>340</v>
      </c>
      <c r="F597" s="156">
        <v>41487</v>
      </c>
      <c r="G597" s="156" t="s">
        <v>370</v>
      </c>
      <c r="H597" s="156" t="s">
        <v>24</v>
      </c>
      <c r="I597" s="157">
        <v>167500</v>
      </c>
      <c r="J597" s="160">
        <v>0.5</v>
      </c>
      <c r="K597" s="159">
        <f>MONTH(Tabela1[[#This Row],[Data da Venda]])</f>
        <v>8</v>
      </c>
      <c r="L597" s="159">
        <f>YEAR(Tabela1[[#This Row],[Data da Venda]])</f>
        <v>2013</v>
      </c>
    </row>
    <row r="598" spans="1:12" ht="15" hidden="1" customHeight="1">
      <c r="A598" s="149" t="s">
        <v>415</v>
      </c>
      <c r="B598" s="150" t="s">
        <v>416</v>
      </c>
      <c r="C598" s="155">
        <v>2516</v>
      </c>
      <c r="D598" s="155" t="s">
        <v>328</v>
      </c>
      <c r="E598" s="155" t="s">
        <v>340</v>
      </c>
      <c r="F598" s="156">
        <v>41487</v>
      </c>
      <c r="G598" s="156" t="s">
        <v>307</v>
      </c>
      <c r="H598" s="156" t="s">
        <v>24</v>
      </c>
      <c r="I598" s="157">
        <v>167500</v>
      </c>
      <c r="J598" s="160">
        <v>0.5</v>
      </c>
      <c r="K598" s="159">
        <f>MONTH(Tabela1[[#This Row],[Data da Venda]])</f>
        <v>8</v>
      </c>
      <c r="L598" s="159">
        <f>YEAR(Tabela1[[#This Row],[Data da Venda]])</f>
        <v>2013</v>
      </c>
    </row>
    <row r="599" spans="1:12" ht="15" hidden="1" customHeight="1">
      <c r="A599" s="151" t="s">
        <v>186</v>
      </c>
      <c r="B599" s="150" t="s">
        <v>418</v>
      </c>
      <c r="C599" s="155">
        <v>1005</v>
      </c>
      <c r="D599" s="155" t="s">
        <v>328</v>
      </c>
      <c r="E599" s="155" t="s">
        <v>339</v>
      </c>
      <c r="F599" s="156">
        <v>41489</v>
      </c>
      <c r="G599" s="156" t="s">
        <v>36</v>
      </c>
      <c r="H599" s="156" t="s">
        <v>24</v>
      </c>
      <c r="I599" s="157">
        <v>452100</v>
      </c>
      <c r="J599" s="160">
        <v>1</v>
      </c>
      <c r="K599" s="159">
        <f>MONTH(Tabela1[[#This Row],[Data da Venda]])</f>
        <v>8</v>
      </c>
      <c r="L599" s="159">
        <f>YEAR(Tabela1[[#This Row],[Data da Venda]])</f>
        <v>2013</v>
      </c>
    </row>
    <row r="600" spans="1:12" ht="15" hidden="1" customHeight="1">
      <c r="A600" s="149" t="s">
        <v>415</v>
      </c>
      <c r="B600" s="150" t="s">
        <v>416</v>
      </c>
      <c r="C600" s="155">
        <v>2603</v>
      </c>
      <c r="D600" s="155" t="s">
        <v>328</v>
      </c>
      <c r="E600" s="155" t="s">
        <v>340</v>
      </c>
      <c r="F600" s="156">
        <v>41492</v>
      </c>
      <c r="G600" s="156" t="s">
        <v>154</v>
      </c>
      <c r="H600" s="156" t="s">
        <v>61</v>
      </c>
      <c r="I600" s="157">
        <v>417781</v>
      </c>
      <c r="J600" s="160">
        <v>1</v>
      </c>
      <c r="K600" s="159">
        <f>MONTH(Tabela1[[#This Row],[Data da Venda]])</f>
        <v>8</v>
      </c>
      <c r="L600" s="159">
        <f>YEAR(Tabela1[[#This Row],[Data da Venda]])</f>
        <v>2013</v>
      </c>
    </row>
    <row r="601" spans="1:12" ht="15" hidden="1" customHeight="1">
      <c r="A601" s="151" t="s">
        <v>81</v>
      </c>
      <c r="B601" s="150" t="s">
        <v>446</v>
      </c>
      <c r="C601" s="155">
        <v>35</v>
      </c>
      <c r="D601" s="155" t="s">
        <v>328</v>
      </c>
      <c r="E601" s="155" t="s">
        <v>339</v>
      </c>
      <c r="F601" s="156">
        <v>41497</v>
      </c>
      <c r="G601" s="156" t="s">
        <v>372</v>
      </c>
      <c r="H601" s="156" t="s">
        <v>24</v>
      </c>
      <c r="I601" s="157">
        <v>400000</v>
      </c>
      <c r="J601" s="160">
        <v>1</v>
      </c>
      <c r="K601" s="159">
        <f>MONTH(Tabela1[[#This Row],[Data da Venda]])</f>
        <v>8</v>
      </c>
      <c r="L601" s="159">
        <f>YEAR(Tabela1[[#This Row],[Data da Venda]])</f>
        <v>2013</v>
      </c>
    </row>
    <row r="602" spans="1:12" ht="15" hidden="1" customHeight="1">
      <c r="A602" s="162" t="s">
        <v>447</v>
      </c>
      <c r="B602" s="164" t="s">
        <v>397</v>
      </c>
      <c r="C602" s="155">
        <v>42</v>
      </c>
      <c r="D602" s="155" t="s">
        <v>329</v>
      </c>
      <c r="E602" s="155" t="s">
        <v>339</v>
      </c>
      <c r="F602" s="156">
        <v>41498</v>
      </c>
      <c r="G602" s="156" t="s">
        <v>465</v>
      </c>
      <c r="H602" s="156" t="s">
        <v>33</v>
      </c>
      <c r="I602" s="157">
        <v>900000</v>
      </c>
      <c r="J602" s="160">
        <v>1</v>
      </c>
      <c r="K602" s="159">
        <f>MONTH(Tabela1[[#This Row],[Data da Venda]])</f>
        <v>8</v>
      </c>
      <c r="L602" s="159">
        <f>YEAR(Tabela1[[#This Row],[Data da Venda]])</f>
        <v>2013</v>
      </c>
    </row>
    <row r="603" spans="1:12" ht="15" hidden="1" customHeight="1">
      <c r="A603" s="149" t="s">
        <v>422</v>
      </c>
      <c r="B603" s="264" t="s">
        <v>509</v>
      </c>
      <c r="C603" s="155">
        <v>103</v>
      </c>
      <c r="D603" s="155" t="s">
        <v>328</v>
      </c>
      <c r="E603" s="155" t="s">
        <v>339</v>
      </c>
      <c r="F603" s="156">
        <v>41501</v>
      </c>
      <c r="G603" s="156" t="s">
        <v>367</v>
      </c>
      <c r="H603" s="157" t="s">
        <v>27</v>
      </c>
      <c r="I603" s="157">
        <v>860000</v>
      </c>
      <c r="J603" s="160">
        <v>1</v>
      </c>
      <c r="K603" s="159">
        <f>MONTH(Tabela1[[#This Row],[Data da Venda]])</f>
        <v>8</v>
      </c>
      <c r="L603" s="159">
        <f>YEAR(Tabela1[[#This Row],[Data da Venda]])</f>
        <v>2013</v>
      </c>
    </row>
    <row r="604" spans="1:12" ht="15" hidden="1" customHeight="1">
      <c r="A604" s="149" t="s">
        <v>415</v>
      </c>
      <c r="B604" s="150" t="s">
        <v>416</v>
      </c>
      <c r="C604" s="155">
        <v>2307</v>
      </c>
      <c r="D604" s="155" t="s">
        <v>329</v>
      </c>
      <c r="E604" s="155" t="s">
        <v>340</v>
      </c>
      <c r="F604" s="156">
        <v>41502</v>
      </c>
      <c r="G604" s="156" t="s">
        <v>463</v>
      </c>
      <c r="H604" s="157" t="s">
        <v>33</v>
      </c>
      <c r="I604" s="157">
        <v>393298</v>
      </c>
      <c r="J604" s="160">
        <v>1</v>
      </c>
      <c r="K604" s="159">
        <f>MONTH(Tabela1[[#This Row],[Data da Venda]])</f>
        <v>8</v>
      </c>
      <c r="L604" s="159">
        <f>YEAR(Tabela1[[#This Row],[Data da Venda]])</f>
        <v>2013</v>
      </c>
    </row>
    <row r="605" spans="1:12" ht="15" hidden="1" customHeight="1">
      <c r="A605" s="149" t="s">
        <v>53</v>
      </c>
      <c r="B605" s="150" t="s">
        <v>414</v>
      </c>
      <c r="C605" s="155">
        <v>54</v>
      </c>
      <c r="D605" s="155" t="s">
        <v>328</v>
      </c>
      <c r="E605" s="155" t="s">
        <v>339</v>
      </c>
      <c r="F605" s="156">
        <v>41504</v>
      </c>
      <c r="G605" s="156" t="s">
        <v>104</v>
      </c>
      <c r="H605" s="157" t="s">
        <v>26</v>
      </c>
      <c r="I605" s="157">
        <v>546518</v>
      </c>
      <c r="J605" s="160">
        <v>1</v>
      </c>
      <c r="K605" s="159">
        <f>MONTH(Tabela1[[#This Row],[Data da Venda]])</f>
        <v>8</v>
      </c>
      <c r="L605" s="159">
        <f>YEAR(Tabela1[[#This Row],[Data da Venda]])</f>
        <v>2013</v>
      </c>
    </row>
    <row r="606" spans="1:12" ht="15" hidden="1" customHeight="1">
      <c r="A606" s="149" t="s">
        <v>53</v>
      </c>
      <c r="B606" s="150" t="s">
        <v>436</v>
      </c>
      <c r="C606" s="155" t="s">
        <v>444</v>
      </c>
      <c r="D606" s="155" t="s">
        <v>328</v>
      </c>
      <c r="E606" s="155" t="s">
        <v>339</v>
      </c>
      <c r="F606" s="156">
        <v>41504</v>
      </c>
      <c r="G606" s="156" t="s">
        <v>104</v>
      </c>
      <c r="H606" s="157" t="s">
        <v>26</v>
      </c>
      <c r="I606" s="157">
        <v>29750.43</v>
      </c>
      <c r="J606" s="160">
        <v>1</v>
      </c>
      <c r="K606" s="159">
        <f>MONTH(Tabela1[[#This Row],[Data da Venda]])</f>
        <v>8</v>
      </c>
      <c r="L606" s="159">
        <f>YEAR(Tabela1[[#This Row],[Data da Venda]])</f>
        <v>2013</v>
      </c>
    </row>
    <row r="607" spans="1:12" ht="15" hidden="1" customHeight="1">
      <c r="A607" s="151" t="s">
        <v>186</v>
      </c>
      <c r="B607" s="150" t="s">
        <v>418</v>
      </c>
      <c r="C607" s="155">
        <v>1112</v>
      </c>
      <c r="D607" s="155" t="s">
        <v>328</v>
      </c>
      <c r="E607" s="155" t="s">
        <v>339</v>
      </c>
      <c r="F607" s="156">
        <v>41505</v>
      </c>
      <c r="G607" s="156" t="s">
        <v>77</v>
      </c>
      <c r="H607" s="157" t="s">
        <v>27</v>
      </c>
      <c r="I607" s="157">
        <v>445000</v>
      </c>
      <c r="J607" s="160">
        <v>1</v>
      </c>
      <c r="K607" s="159">
        <f>MONTH(Tabela1[[#This Row],[Data da Venda]])</f>
        <v>8</v>
      </c>
      <c r="L607" s="159">
        <f>YEAR(Tabela1[[#This Row],[Data da Venda]])</f>
        <v>2013</v>
      </c>
    </row>
    <row r="608" spans="1:12" ht="15" hidden="1" customHeight="1">
      <c r="A608" s="149" t="s">
        <v>415</v>
      </c>
      <c r="B608" s="150" t="s">
        <v>416</v>
      </c>
      <c r="C608" s="155">
        <v>1405</v>
      </c>
      <c r="D608" s="155" t="s">
        <v>328</v>
      </c>
      <c r="E608" s="155" t="s">
        <v>340</v>
      </c>
      <c r="F608" s="156">
        <v>41506</v>
      </c>
      <c r="G608" s="156" t="s">
        <v>42</v>
      </c>
      <c r="H608" s="157" t="s">
        <v>27</v>
      </c>
      <c r="I608" s="157">
        <v>328526.96000000002</v>
      </c>
      <c r="J608" s="160">
        <v>0.5</v>
      </c>
      <c r="K608" s="159">
        <f>MONTH(Tabela1[[#This Row],[Data da Venda]])</f>
        <v>8</v>
      </c>
      <c r="L608" s="159">
        <f>YEAR(Tabela1[[#This Row],[Data da Venda]])</f>
        <v>2013</v>
      </c>
    </row>
    <row r="609" spans="1:12" ht="15" hidden="1" customHeight="1">
      <c r="A609" s="149" t="s">
        <v>415</v>
      </c>
      <c r="B609" s="150" t="s">
        <v>416</v>
      </c>
      <c r="C609" s="155">
        <v>1405</v>
      </c>
      <c r="D609" s="155" t="s">
        <v>328</v>
      </c>
      <c r="E609" s="155" t="s">
        <v>340</v>
      </c>
      <c r="F609" s="156">
        <v>41506</v>
      </c>
      <c r="G609" s="156" t="s">
        <v>172</v>
      </c>
      <c r="H609" s="156" t="s">
        <v>24</v>
      </c>
      <c r="I609" s="157">
        <v>328526.96999999997</v>
      </c>
      <c r="J609" s="160">
        <v>0.5</v>
      </c>
      <c r="K609" s="159">
        <f>MONTH(Tabela1[[#This Row],[Data da Venda]])</f>
        <v>8</v>
      </c>
      <c r="L609" s="159">
        <f>YEAR(Tabela1[[#This Row],[Data da Venda]])</f>
        <v>2013</v>
      </c>
    </row>
    <row r="610" spans="1:12" ht="15" hidden="1" customHeight="1">
      <c r="A610" s="149" t="s">
        <v>415</v>
      </c>
      <c r="B610" s="150" t="s">
        <v>416</v>
      </c>
      <c r="C610" s="155">
        <v>1505</v>
      </c>
      <c r="D610" s="155" t="s">
        <v>328</v>
      </c>
      <c r="E610" s="155" t="s">
        <v>340</v>
      </c>
      <c r="F610" s="156">
        <v>41506</v>
      </c>
      <c r="G610" s="156" t="s">
        <v>42</v>
      </c>
      <c r="H610" s="157" t="s">
        <v>27</v>
      </c>
      <c r="I610" s="157">
        <v>316723.37</v>
      </c>
      <c r="J610" s="160">
        <v>0.5</v>
      </c>
      <c r="K610" s="159">
        <f>MONTH(Tabela1[[#This Row],[Data da Venda]])</f>
        <v>8</v>
      </c>
      <c r="L610" s="159">
        <f>YEAR(Tabela1[[#This Row],[Data da Venda]])</f>
        <v>2013</v>
      </c>
    </row>
    <row r="611" spans="1:12" ht="15" hidden="1" customHeight="1">
      <c r="A611" s="149" t="s">
        <v>415</v>
      </c>
      <c r="B611" s="150" t="s">
        <v>416</v>
      </c>
      <c r="C611" s="155">
        <v>1505</v>
      </c>
      <c r="D611" s="155" t="s">
        <v>328</v>
      </c>
      <c r="E611" s="155" t="s">
        <v>340</v>
      </c>
      <c r="F611" s="156">
        <v>41506</v>
      </c>
      <c r="G611" s="156" t="s">
        <v>172</v>
      </c>
      <c r="H611" s="156" t="s">
        <v>24</v>
      </c>
      <c r="I611" s="157">
        <v>316723.36</v>
      </c>
      <c r="J611" s="160">
        <v>0.5</v>
      </c>
      <c r="K611" s="159">
        <f>MONTH(Tabela1[[#This Row],[Data da Venda]])</f>
        <v>8</v>
      </c>
      <c r="L611" s="159">
        <f>YEAR(Tabela1[[#This Row],[Data da Venda]])</f>
        <v>2013</v>
      </c>
    </row>
    <row r="612" spans="1:12" ht="15" hidden="1" customHeight="1">
      <c r="A612" s="149" t="s">
        <v>53</v>
      </c>
      <c r="B612" s="150" t="s">
        <v>414</v>
      </c>
      <c r="C612" s="155">
        <v>12</v>
      </c>
      <c r="D612" s="155" t="s">
        <v>328</v>
      </c>
      <c r="E612" s="155" t="s">
        <v>339</v>
      </c>
      <c r="F612" s="156">
        <v>41506</v>
      </c>
      <c r="G612" s="156" t="s">
        <v>41</v>
      </c>
      <c r="H612" s="157" t="s">
        <v>27</v>
      </c>
      <c r="I612" s="157">
        <v>319600</v>
      </c>
      <c r="J612" s="160">
        <v>0.5</v>
      </c>
      <c r="K612" s="159">
        <f>MONTH(Tabela1[[#This Row],[Data da Venda]])</f>
        <v>8</v>
      </c>
      <c r="L612" s="159">
        <f>YEAR(Tabela1[[#This Row],[Data da Venda]])</f>
        <v>2013</v>
      </c>
    </row>
    <row r="613" spans="1:12" ht="15" hidden="1" customHeight="1">
      <c r="A613" s="149" t="s">
        <v>53</v>
      </c>
      <c r="B613" s="150" t="s">
        <v>414</v>
      </c>
      <c r="C613" s="155">
        <v>12</v>
      </c>
      <c r="D613" s="155" t="s">
        <v>328</v>
      </c>
      <c r="E613" s="155" t="s">
        <v>339</v>
      </c>
      <c r="F613" s="156">
        <v>41506</v>
      </c>
      <c r="G613" s="156" t="s">
        <v>20</v>
      </c>
      <c r="H613" s="157" t="s">
        <v>26</v>
      </c>
      <c r="I613" s="157">
        <v>319600</v>
      </c>
      <c r="J613" s="160">
        <v>0.5</v>
      </c>
      <c r="K613" s="159">
        <f>MONTH(Tabela1[[#This Row],[Data da Venda]])</f>
        <v>8</v>
      </c>
      <c r="L613" s="159">
        <f>YEAR(Tabela1[[#This Row],[Data da Venda]])</f>
        <v>2013</v>
      </c>
    </row>
    <row r="614" spans="1:12" ht="15" hidden="1" customHeight="1">
      <c r="A614" s="149" t="s">
        <v>425</v>
      </c>
      <c r="B614" s="150" t="s">
        <v>394</v>
      </c>
      <c r="C614" s="155">
        <v>62</v>
      </c>
      <c r="D614" s="155" t="s">
        <v>328</v>
      </c>
      <c r="E614" s="155" t="s">
        <v>340</v>
      </c>
      <c r="F614" s="156">
        <v>41507</v>
      </c>
      <c r="G614" s="156" t="s">
        <v>373</v>
      </c>
      <c r="H614" s="157" t="s">
        <v>26</v>
      </c>
      <c r="I614" s="157">
        <v>518000</v>
      </c>
      <c r="J614" s="160">
        <v>1</v>
      </c>
      <c r="K614" s="159">
        <f>MONTH(Tabela1[[#This Row],[Data da Venda]])</f>
        <v>8</v>
      </c>
      <c r="L614" s="159">
        <f>YEAR(Tabela1[[#This Row],[Data da Venda]])</f>
        <v>2013</v>
      </c>
    </row>
    <row r="615" spans="1:12" ht="15" hidden="1" customHeight="1">
      <c r="A615" s="149" t="s">
        <v>425</v>
      </c>
      <c r="B615" s="150" t="s">
        <v>409</v>
      </c>
      <c r="C615" s="155">
        <v>67</v>
      </c>
      <c r="D615" s="155" t="s">
        <v>328</v>
      </c>
      <c r="E615" s="155" t="s">
        <v>340</v>
      </c>
      <c r="F615" s="156">
        <v>41507</v>
      </c>
      <c r="G615" s="156" t="s">
        <v>291</v>
      </c>
      <c r="H615" s="157" t="s">
        <v>61</v>
      </c>
      <c r="I615" s="157">
        <v>555000</v>
      </c>
      <c r="J615" s="160">
        <v>1</v>
      </c>
      <c r="K615" s="159">
        <f>MONTH(Tabela1[[#This Row],[Data da Venda]])</f>
        <v>8</v>
      </c>
      <c r="L615" s="159">
        <f>YEAR(Tabela1[[#This Row],[Data da Venda]])</f>
        <v>2013</v>
      </c>
    </row>
    <row r="616" spans="1:12" ht="15" hidden="1" customHeight="1">
      <c r="A616" s="149" t="s">
        <v>425</v>
      </c>
      <c r="B616" s="150" t="s">
        <v>394</v>
      </c>
      <c r="C616" s="155">
        <v>73</v>
      </c>
      <c r="D616" s="155" t="s">
        <v>328</v>
      </c>
      <c r="E616" s="155" t="s">
        <v>340</v>
      </c>
      <c r="F616" s="156">
        <v>41507</v>
      </c>
      <c r="G616" s="156" t="s">
        <v>302</v>
      </c>
      <c r="H616" s="156" t="s">
        <v>25</v>
      </c>
      <c r="I616" s="157">
        <v>522285.54</v>
      </c>
      <c r="J616" s="160">
        <v>1</v>
      </c>
      <c r="K616" s="159">
        <f>MONTH(Tabela1[[#This Row],[Data da Venda]])</f>
        <v>8</v>
      </c>
      <c r="L616" s="159">
        <f>YEAR(Tabela1[[#This Row],[Data da Venda]])</f>
        <v>2013</v>
      </c>
    </row>
    <row r="617" spans="1:12" ht="15" hidden="1" customHeight="1">
      <c r="A617" s="149" t="s">
        <v>425</v>
      </c>
      <c r="B617" s="150" t="s">
        <v>409</v>
      </c>
      <c r="C617" s="155">
        <v>76</v>
      </c>
      <c r="D617" s="155" t="s">
        <v>328</v>
      </c>
      <c r="E617" s="155" t="s">
        <v>340</v>
      </c>
      <c r="F617" s="156">
        <v>41507</v>
      </c>
      <c r="G617" s="156" t="s">
        <v>290</v>
      </c>
      <c r="H617" s="157" t="s">
        <v>61</v>
      </c>
      <c r="I617" s="157">
        <v>556094</v>
      </c>
      <c r="J617" s="160">
        <v>1</v>
      </c>
      <c r="K617" s="159">
        <f>MONTH(Tabela1[[#This Row],[Data da Venda]])</f>
        <v>8</v>
      </c>
      <c r="L617" s="159">
        <f>YEAR(Tabela1[[#This Row],[Data da Venda]])</f>
        <v>2013</v>
      </c>
    </row>
    <row r="618" spans="1:12" ht="15" hidden="1" customHeight="1">
      <c r="A618" s="149" t="s">
        <v>425</v>
      </c>
      <c r="B618" s="150" t="s">
        <v>394</v>
      </c>
      <c r="C618" s="155">
        <v>77</v>
      </c>
      <c r="D618" s="155" t="s">
        <v>328</v>
      </c>
      <c r="E618" s="155" t="s">
        <v>340</v>
      </c>
      <c r="F618" s="156">
        <v>41507</v>
      </c>
      <c r="G618" s="156" t="s">
        <v>374</v>
      </c>
      <c r="H618" s="157" t="s">
        <v>23</v>
      </c>
      <c r="I618" s="157">
        <v>523533.88</v>
      </c>
      <c r="J618" s="160">
        <v>1</v>
      </c>
      <c r="K618" s="159">
        <f>MONTH(Tabela1[[#This Row],[Data da Venda]])</f>
        <v>8</v>
      </c>
      <c r="L618" s="159">
        <f>YEAR(Tabela1[[#This Row],[Data da Venda]])</f>
        <v>2013</v>
      </c>
    </row>
    <row r="619" spans="1:12" ht="15" hidden="1" customHeight="1">
      <c r="A619" s="149" t="s">
        <v>425</v>
      </c>
      <c r="B619" s="150" t="s">
        <v>394</v>
      </c>
      <c r="C619" s="155">
        <v>83</v>
      </c>
      <c r="D619" s="155" t="s">
        <v>328</v>
      </c>
      <c r="E619" s="155" t="s">
        <v>340</v>
      </c>
      <c r="F619" s="156">
        <v>41507</v>
      </c>
      <c r="G619" s="156" t="s">
        <v>274</v>
      </c>
      <c r="H619" s="157" t="s">
        <v>27</v>
      </c>
      <c r="I619" s="157">
        <v>510394</v>
      </c>
      <c r="J619" s="160">
        <v>1</v>
      </c>
      <c r="K619" s="159">
        <f>MONTH(Tabela1[[#This Row],[Data da Venda]])</f>
        <v>8</v>
      </c>
      <c r="L619" s="159">
        <f>YEAR(Tabela1[[#This Row],[Data da Venda]])</f>
        <v>2013</v>
      </c>
    </row>
    <row r="620" spans="1:12" ht="15" hidden="1" customHeight="1">
      <c r="A620" s="149" t="s">
        <v>425</v>
      </c>
      <c r="B620" s="150" t="s">
        <v>409</v>
      </c>
      <c r="C620" s="155">
        <v>85</v>
      </c>
      <c r="D620" s="155" t="s">
        <v>328</v>
      </c>
      <c r="E620" s="155" t="s">
        <v>340</v>
      </c>
      <c r="F620" s="156">
        <v>41507</v>
      </c>
      <c r="G620" s="156" t="s">
        <v>310</v>
      </c>
      <c r="H620" s="157" t="s">
        <v>61</v>
      </c>
      <c r="I620" s="157">
        <v>406154.17</v>
      </c>
      <c r="J620" s="160">
        <v>1</v>
      </c>
      <c r="K620" s="159">
        <f>MONTH(Tabela1[[#This Row],[Data da Venda]])</f>
        <v>8</v>
      </c>
      <c r="L620" s="159">
        <f>YEAR(Tabela1[[#This Row],[Data da Venda]])</f>
        <v>2013</v>
      </c>
    </row>
    <row r="621" spans="1:12" ht="15" hidden="1" customHeight="1">
      <c r="A621" s="149" t="s">
        <v>425</v>
      </c>
      <c r="B621" s="150" t="s">
        <v>394</v>
      </c>
      <c r="C621" s="155">
        <v>86</v>
      </c>
      <c r="D621" s="155" t="s">
        <v>329</v>
      </c>
      <c r="E621" s="155" t="s">
        <v>340</v>
      </c>
      <c r="F621" s="156">
        <v>41507</v>
      </c>
      <c r="G621" s="156" t="s">
        <v>337</v>
      </c>
      <c r="H621" s="157" t="s">
        <v>33</v>
      </c>
      <c r="I621" s="157">
        <v>536143.56000000006</v>
      </c>
      <c r="J621" s="160">
        <v>1</v>
      </c>
      <c r="K621" s="159">
        <f>MONTH(Tabela1[[#This Row],[Data da Venda]])</f>
        <v>8</v>
      </c>
      <c r="L621" s="159">
        <f>YEAR(Tabela1[[#This Row],[Data da Venda]])</f>
        <v>2013</v>
      </c>
    </row>
    <row r="622" spans="1:12" ht="15" hidden="1" customHeight="1">
      <c r="A622" s="149" t="s">
        <v>425</v>
      </c>
      <c r="B622" s="150" t="s">
        <v>409</v>
      </c>
      <c r="C622" s="155">
        <v>45</v>
      </c>
      <c r="D622" s="155" t="s">
        <v>328</v>
      </c>
      <c r="E622" s="155" t="s">
        <v>340</v>
      </c>
      <c r="F622" s="156">
        <v>41508</v>
      </c>
      <c r="G622" s="156" t="s">
        <v>290</v>
      </c>
      <c r="H622" s="157" t="s">
        <v>61</v>
      </c>
      <c r="I622" s="157">
        <v>392870.6</v>
      </c>
      <c r="J622" s="160">
        <v>1</v>
      </c>
      <c r="K622" s="159">
        <f>MONTH(Tabela1[[#This Row],[Data da Venda]])</f>
        <v>8</v>
      </c>
      <c r="L622" s="159">
        <f>YEAR(Tabela1[[#This Row],[Data da Venda]])</f>
        <v>2013</v>
      </c>
    </row>
    <row r="623" spans="1:12" ht="15" hidden="1" customHeight="1">
      <c r="A623" s="149" t="s">
        <v>425</v>
      </c>
      <c r="B623" s="150" t="s">
        <v>394</v>
      </c>
      <c r="C623" s="155">
        <v>48</v>
      </c>
      <c r="D623" s="155" t="s">
        <v>328</v>
      </c>
      <c r="E623" s="155" t="s">
        <v>340</v>
      </c>
      <c r="F623" s="156">
        <v>41508</v>
      </c>
      <c r="G623" s="156" t="s">
        <v>282</v>
      </c>
      <c r="H623" s="157" t="s">
        <v>26</v>
      </c>
      <c r="I623" s="157">
        <v>356555</v>
      </c>
      <c r="J623" s="160">
        <v>1</v>
      </c>
      <c r="K623" s="159">
        <f>MONTH(Tabela1[[#This Row],[Data da Venda]])</f>
        <v>8</v>
      </c>
      <c r="L623" s="159">
        <f>YEAR(Tabela1[[#This Row],[Data da Venda]])</f>
        <v>2013</v>
      </c>
    </row>
    <row r="624" spans="1:12" ht="15" hidden="1" customHeight="1">
      <c r="A624" s="149" t="s">
        <v>89</v>
      </c>
      <c r="B624" s="150" t="s">
        <v>426</v>
      </c>
      <c r="C624" s="155">
        <v>21</v>
      </c>
      <c r="D624" s="155" t="s">
        <v>328</v>
      </c>
      <c r="E624" s="155" t="s">
        <v>339</v>
      </c>
      <c r="F624" s="156">
        <v>41508</v>
      </c>
      <c r="G624" s="156" t="s">
        <v>313</v>
      </c>
      <c r="H624" s="156" t="s">
        <v>25</v>
      </c>
      <c r="I624" s="157">
        <v>2375000</v>
      </c>
      <c r="J624" s="160">
        <v>1</v>
      </c>
      <c r="K624" s="159">
        <f>MONTH(Tabela1[[#This Row],[Data da Venda]])</f>
        <v>8</v>
      </c>
      <c r="L624" s="159">
        <f>YEAR(Tabela1[[#This Row],[Data da Venda]])</f>
        <v>2013</v>
      </c>
    </row>
    <row r="625" spans="1:12" ht="15" hidden="1" customHeight="1">
      <c r="A625" s="149" t="s">
        <v>425</v>
      </c>
      <c r="B625" s="150" t="s">
        <v>409</v>
      </c>
      <c r="C625" s="155">
        <v>87</v>
      </c>
      <c r="D625" s="155" t="s">
        <v>328</v>
      </c>
      <c r="E625" s="155" t="s">
        <v>340</v>
      </c>
      <c r="F625" s="156">
        <v>41508</v>
      </c>
      <c r="G625" s="156" t="s">
        <v>274</v>
      </c>
      <c r="H625" s="157" t="s">
        <v>27</v>
      </c>
      <c r="I625" s="157">
        <v>557743.26</v>
      </c>
      <c r="J625" s="160">
        <v>1</v>
      </c>
      <c r="K625" s="159">
        <f>MONTH(Tabela1[[#This Row],[Data da Venda]])</f>
        <v>8</v>
      </c>
      <c r="L625" s="159">
        <f>YEAR(Tabela1[[#This Row],[Data da Venda]])</f>
        <v>2013</v>
      </c>
    </row>
    <row r="626" spans="1:12" ht="15" hidden="1" customHeight="1">
      <c r="A626" s="149" t="s">
        <v>415</v>
      </c>
      <c r="B626" s="150" t="s">
        <v>416</v>
      </c>
      <c r="C626" s="155">
        <v>1705</v>
      </c>
      <c r="D626" s="155" t="s">
        <v>328</v>
      </c>
      <c r="E626" s="155" t="s">
        <v>340</v>
      </c>
      <c r="F626" s="156">
        <v>41509</v>
      </c>
      <c r="G626" s="156" t="s">
        <v>312</v>
      </c>
      <c r="H626" s="156" t="s">
        <v>24</v>
      </c>
      <c r="I626" s="157">
        <v>633439.62</v>
      </c>
      <c r="J626" s="160">
        <v>1</v>
      </c>
      <c r="K626" s="159">
        <f>MONTH(Tabela1[[#This Row],[Data da Venda]])</f>
        <v>8</v>
      </c>
      <c r="L626" s="159">
        <f>YEAR(Tabela1[[#This Row],[Data da Venda]])</f>
        <v>2013</v>
      </c>
    </row>
    <row r="627" spans="1:12" ht="15" hidden="1" customHeight="1">
      <c r="A627" s="149" t="s">
        <v>425</v>
      </c>
      <c r="B627" s="150" t="s">
        <v>394</v>
      </c>
      <c r="C627" s="155">
        <v>53</v>
      </c>
      <c r="D627" s="155" t="s">
        <v>328</v>
      </c>
      <c r="E627" s="155" t="s">
        <v>340</v>
      </c>
      <c r="F627" s="156">
        <v>41509</v>
      </c>
      <c r="G627" s="156" t="s">
        <v>274</v>
      </c>
      <c r="H627" s="157" t="s">
        <v>27</v>
      </c>
      <c r="I627" s="157">
        <v>512572.05</v>
      </c>
      <c r="J627" s="160">
        <v>1</v>
      </c>
      <c r="K627" s="159">
        <f>MONTH(Tabela1[[#This Row],[Data da Venda]])</f>
        <v>8</v>
      </c>
      <c r="L627" s="159">
        <f>YEAR(Tabela1[[#This Row],[Data da Venda]])</f>
        <v>2013</v>
      </c>
    </row>
    <row r="628" spans="1:12" ht="15" hidden="1" customHeight="1">
      <c r="A628" s="149" t="s">
        <v>415</v>
      </c>
      <c r="B628" s="150" t="s">
        <v>416</v>
      </c>
      <c r="C628" s="155">
        <v>615</v>
      </c>
      <c r="D628" s="155" t="s">
        <v>328</v>
      </c>
      <c r="E628" s="155" t="s">
        <v>340</v>
      </c>
      <c r="F628" s="156">
        <v>41511</v>
      </c>
      <c r="G628" s="156" t="s">
        <v>179</v>
      </c>
      <c r="H628" s="157" t="s">
        <v>61</v>
      </c>
      <c r="I628" s="157">
        <v>397849.67</v>
      </c>
      <c r="J628" s="160">
        <v>1</v>
      </c>
      <c r="K628" s="159">
        <f>MONTH(Tabela1[[#This Row],[Data da Venda]])</f>
        <v>8</v>
      </c>
      <c r="L628" s="159">
        <f>YEAR(Tabela1[[#This Row],[Data da Venda]])</f>
        <v>2013</v>
      </c>
    </row>
    <row r="629" spans="1:12" ht="15" hidden="1" customHeight="1">
      <c r="A629" s="149" t="s">
        <v>425</v>
      </c>
      <c r="B629" s="150" t="s">
        <v>398</v>
      </c>
      <c r="C629" s="155">
        <v>13</v>
      </c>
      <c r="D629" s="155" t="s">
        <v>328</v>
      </c>
      <c r="E629" s="155" t="s">
        <v>340</v>
      </c>
      <c r="F629" s="156">
        <v>41511</v>
      </c>
      <c r="G629" s="156" t="s">
        <v>78</v>
      </c>
      <c r="H629" s="157" t="s">
        <v>79</v>
      </c>
      <c r="I629" s="157">
        <v>623000</v>
      </c>
      <c r="J629" s="160">
        <v>1</v>
      </c>
      <c r="K629" s="159">
        <f>MONTH(Tabela1[[#This Row],[Data da Venda]])</f>
        <v>8</v>
      </c>
      <c r="L629" s="159">
        <f>YEAR(Tabela1[[#This Row],[Data da Venda]])</f>
        <v>2013</v>
      </c>
    </row>
    <row r="630" spans="1:12" ht="15" hidden="1" customHeight="1">
      <c r="A630" s="149" t="s">
        <v>425</v>
      </c>
      <c r="B630" s="150" t="s">
        <v>394</v>
      </c>
      <c r="C630" s="155">
        <v>28</v>
      </c>
      <c r="D630" s="155" t="s">
        <v>328</v>
      </c>
      <c r="E630" s="155" t="s">
        <v>340</v>
      </c>
      <c r="F630" s="156">
        <v>41511</v>
      </c>
      <c r="G630" s="156" t="s">
        <v>302</v>
      </c>
      <c r="H630" s="156" t="s">
        <v>25</v>
      </c>
      <c r="I630" s="157">
        <v>380375</v>
      </c>
      <c r="J630" s="160">
        <v>1</v>
      </c>
      <c r="K630" s="159">
        <f>MONTH(Tabela1[[#This Row],[Data da Venda]])</f>
        <v>8</v>
      </c>
      <c r="L630" s="159">
        <f>YEAR(Tabela1[[#This Row],[Data da Venda]])</f>
        <v>2013</v>
      </c>
    </row>
    <row r="631" spans="1:12" ht="15" hidden="1" customHeight="1">
      <c r="A631" s="149" t="s">
        <v>425</v>
      </c>
      <c r="B631" s="150" t="s">
        <v>394</v>
      </c>
      <c r="C631" s="155">
        <v>55</v>
      </c>
      <c r="D631" s="155" t="s">
        <v>328</v>
      </c>
      <c r="E631" s="155" t="s">
        <v>340</v>
      </c>
      <c r="F631" s="156">
        <v>41511</v>
      </c>
      <c r="G631" s="156" t="s">
        <v>282</v>
      </c>
      <c r="H631" s="157" t="s">
        <v>26</v>
      </c>
      <c r="I631" s="157">
        <v>397685.25</v>
      </c>
      <c r="J631" s="160">
        <v>1</v>
      </c>
      <c r="K631" s="159">
        <f>MONTH(Tabela1[[#This Row],[Data da Venda]])</f>
        <v>8</v>
      </c>
      <c r="L631" s="159">
        <f>YEAR(Tabela1[[#This Row],[Data da Venda]])</f>
        <v>2013</v>
      </c>
    </row>
    <row r="632" spans="1:12" ht="15" hidden="1" customHeight="1">
      <c r="A632" s="149" t="s">
        <v>191</v>
      </c>
      <c r="B632" s="150" t="s">
        <v>385</v>
      </c>
      <c r="C632" s="155">
        <v>136</v>
      </c>
      <c r="D632" s="155" t="s">
        <v>328</v>
      </c>
      <c r="E632" s="155" t="s">
        <v>339</v>
      </c>
      <c r="F632" s="156">
        <v>41511</v>
      </c>
      <c r="G632" s="156" t="s">
        <v>375</v>
      </c>
      <c r="H632" s="157" t="s">
        <v>23</v>
      </c>
      <c r="I632" s="157">
        <v>245000</v>
      </c>
      <c r="J632" s="160">
        <v>1</v>
      </c>
      <c r="K632" s="159">
        <f>MONTH(Tabela1[[#This Row],[Data da Venda]])</f>
        <v>8</v>
      </c>
      <c r="L632" s="159">
        <f>YEAR(Tabela1[[#This Row],[Data da Venda]])</f>
        <v>2013</v>
      </c>
    </row>
    <row r="633" spans="1:12" ht="15" hidden="1" customHeight="1">
      <c r="A633" s="149" t="s">
        <v>208</v>
      </c>
      <c r="B633" s="150" t="s">
        <v>399</v>
      </c>
      <c r="C633" s="155">
        <v>188</v>
      </c>
      <c r="D633" s="155" t="s">
        <v>328</v>
      </c>
      <c r="E633" s="155" t="s">
        <v>339</v>
      </c>
      <c r="F633" s="156">
        <v>41511</v>
      </c>
      <c r="G633" s="156" t="s">
        <v>18</v>
      </c>
      <c r="H633" s="156" t="s">
        <v>25</v>
      </c>
      <c r="I633" s="157">
        <v>260482.38</v>
      </c>
      <c r="J633" s="160">
        <v>1</v>
      </c>
      <c r="K633" s="159">
        <f>MONTH(Tabela1[[#This Row],[Data da Venda]])</f>
        <v>8</v>
      </c>
      <c r="L633" s="159">
        <f>YEAR(Tabela1[[#This Row],[Data da Venda]])</f>
        <v>2013</v>
      </c>
    </row>
    <row r="634" spans="1:12" ht="15" hidden="1" customHeight="1">
      <c r="A634" s="149" t="s">
        <v>415</v>
      </c>
      <c r="B634" s="150" t="s">
        <v>416</v>
      </c>
      <c r="C634" s="155">
        <v>2507</v>
      </c>
      <c r="D634" s="155" t="s">
        <v>329</v>
      </c>
      <c r="E634" s="155" t="s">
        <v>340</v>
      </c>
      <c r="F634" s="156">
        <v>41511</v>
      </c>
      <c r="G634" s="156" t="s">
        <v>463</v>
      </c>
      <c r="H634" s="157" t="s">
        <v>33</v>
      </c>
      <c r="I634" s="157">
        <v>430030.28</v>
      </c>
      <c r="J634" s="160">
        <v>1</v>
      </c>
      <c r="K634" s="159">
        <f>MONTH(Tabela1[[#This Row],[Data da Venda]])</f>
        <v>8</v>
      </c>
      <c r="L634" s="159">
        <f>YEAR(Tabela1[[#This Row],[Data da Venda]])</f>
        <v>2013</v>
      </c>
    </row>
    <row r="635" spans="1:12" ht="15" hidden="1" customHeight="1">
      <c r="A635" s="149" t="s">
        <v>425</v>
      </c>
      <c r="B635" s="150" t="s">
        <v>394</v>
      </c>
      <c r="C635" s="155">
        <v>66</v>
      </c>
      <c r="D635" s="155" t="s">
        <v>328</v>
      </c>
      <c r="E635" s="155" t="s">
        <v>340</v>
      </c>
      <c r="F635" s="156">
        <v>41511</v>
      </c>
      <c r="G635" s="156" t="s">
        <v>295</v>
      </c>
      <c r="H635" s="156" t="s">
        <v>25</v>
      </c>
      <c r="I635" s="157">
        <v>483500</v>
      </c>
      <c r="J635" s="160">
        <v>1</v>
      </c>
      <c r="K635" s="159">
        <f>MONTH(Tabela1[[#This Row],[Data da Venda]])</f>
        <v>8</v>
      </c>
      <c r="L635" s="159">
        <f>YEAR(Tabela1[[#This Row],[Data da Venda]])</f>
        <v>2013</v>
      </c>
    </row>
    <row r="636" spans="1:12" ht="15" hidden="1" customHeight="1">
      <c r="A636" s="149" t="s">
        <v>425</v>
      </c>
      <c r="B636" s="150" t="s">
        <v>394</v>
      </c>
      <c r="C636" s="155">
        <v>75</v>
      </c>
      <c r="D636" s="155" t="s">
        <v>328</v>
      </c>
      <c r="E636" s="155" t="s">
        <v>340</v>
      </c>
      <c r="F636" s="156">
        <v>41511</v>
      </c>
      <c r="G636" s="156" t="s">
        <v>282</v>
      </c>
      <c r="H636" s="157" t="s">
        <v>26</v>
      </c>
      <c r="I636" s="157">
        <v>374500</v>
      </c>
      <c r="J636" s="160">
        <v>1</v>
      </c>
      <c r="K636" s="159">
        <f>MONTH(Tabela1[[#This Row],[Data da Venda]])</f>
        <v>8</v>
      </c>
      <c r="L636" s="159">
        <f>YEAR(Tabela1[[#This Row],[Data da Venda]])</f>
        <v>2013</v>
      </c>
    </row>
    <row r="637" spans="1:12" ht="15" hidden="1" customHeight="1">
      <c r="A637" s="149" t="s">
        <v>415</v>
      </c>
      <c r="B637" s="150" t="s">
        <v>416</v>
      </c>
      <c r="C637" s="155">
        <v>1905</v>
      </c>
      <c r="D637" s="155" t="s">
        <v>328</v>
      </c>
      <c r="E637" s="155" t="s">
        <v>340</v>
      </c>
      <c r="F637" s="156">
        <v>41513</v>
      </c>
      <c r="G637" s="156" t="s">
        <v>377</v>
      </c>
      <c r="H637" s="157" t="s">
        <v>79</v>
      </c>
      <c r="I637" s="157">
        <v>641419.87</v>
      </c>
      <c r="J637" s="160">
        <v>1</v>
      </c>
      <c r="K637" s="159">
        <f>MONTH(Tabela1[[#This Row],[Data da Venda]])</f>
        <v>8</v>
      </c>
      <c r="L637" s="159">
        <f>YEAR(Tabela1[[#This Row],[Data da Venda]])</f>
        <v>2013</v>
      </c>
    </row>
    <row r="638" spans="1:12" ht="15" hidden="1" customHeight="1">
      <c r="A638" s="149" t="s">
        <v>53</v>
      </c>
      <c r="B638" s="150" t="s">
        <v>414</v>
      </c>
      <c r="C638" s="155">
        <v>16</v>
      </c>
      <c r="D638" s="155" t="s">
        <v>328</v>
      </c>
      <c r="E638" s="155" t="s">
        <v>340</v>
      </c>
      <c r="F638" s="156">
        <v>41513</v>
      </c>
      <c r="G638" s="156" t="s">
        <v>36</v>
      </c>
      <c r="H638" s="156" t="s">
        <v>24</v>
      </c>
      <c r="I638" s="157">
        <v>606000</v>
      </c>
      <c r="J638" s="160">
        <v>1</v>
      </c>
      <c r="K638" s="159">
        <f>MONTH(Tabela1[[#This Row],[Data da Venda]])</f>
        <v>8</v>
      </c>
      <c r="L638" s="159">
        <f>YEAR(Tabela1[[#This Row],[Data da Venda]])</f>
        <v>2013</v>
      </c>
    </row>
    <row r="639" spans="1:12" ht="15" hidden="1" customHeight="1">
      <c r="A639" s="149" t="s">
        <v>53</v>
      </c>
      <c r="B639" s="150" t="s">
        <v>414</v>
      </c>
      <c r="C639" s="155">
        <v>37</v>
      </c>
      <c r="D639" s="155" t="s">
        <v>329</v>
      </c>
      <c r="E639" s="155" t="s">
        <v>340</v>
      </c>
      <c r="F639" s="156">
        <v>41513</v>
      </c>
      <c r="G639" s="156" t="s">
        <v>465</v>
      </c>
      <c r="H639" s="156" t="s">
        <v>33</v>
      </c>
      <c r="I639" s="157">
        <v>685000</v>
      </c>
      <c r="J639" s="160">
        <v>1</v>
      </c>
      <c r="K639" s="159">
        <f>MONTH(Tabela1[[#This Row],[Data da Venda]])</f>
        <v>8</v>
      </c>
      <c r="L639" s="159">
        <f>YEAR(Tabela1[[#This Row],[Data da Venda]])</f>
        <v>2013</v>
      </c>
    </row>
    <row r="640" spans="1:12" ht="15" hidden="1" customHeight="1">
      <c r="A640" s="149" t="s">
        <v>457</v>
      </c>
      <c r="B640" s="150" t="s">
        <v>458</v>
      </c>
      <c r="C640" s="171">
        <v>221</v>
      </c>
      <c r="D640" s="155" t="s">
        <v>327</v>
      </c>
      <c r="E640" s="155" t="s">
        <v>327</v>
      </c>
      <c r="F640" s="172">
        <v>41513</v>
      </c>
      <c r="G640" s="156" t="s">
        <v>360</v>
      </c>
      <c r="H640" s="157" t="s">
        <v>362</v>
      </c>
      <c r="I640" s="173">
        <v>1252000</v>
      </c>
      <c r="J640" s="174">
        <v>1</v>
      </c>
      <c r="K640" s="175">
        <f>MONTH(Tabela1[[#This Row],[Data da Venda]])</f>
        <v>8</v>
      </c>
      <c r="L640" s="175">
        <f>YEAR(Tabela1[[#This Row],[Data da Venda]])</f>
        <v>2013</v>
      </c>
    </row>
    <row r="641" spans="1:12" ht="15" hidden="1" customHeight="1">
      <c r="A641" s="149" t="s">
        <v>425</v>
      </c>
      <c r="B641" s="150" t="s">
        <v>394</v>
      </c>
      <c r="C641" s="171">
        <v>11</v>
      </c>
      <c r="D641" s="171" t="s">
        <v>328</v>
      </c>
      <c r="E641" s="171" t="s">
        <v>340</v>
      </c>
      <c r="F641" s="172">
        <v>41514</v>
      </c>
      <c r="G641" s="172" t="s">
        <v>17</v>
      </c>
      <c r="H641" s="156" t="s">
        <v>25</v>
      </c>
      <c r="I641" s="173">
        <v>189625</v>
      </c>
      <c r="J641" s="174">
        <v>0.5</v>
      </c>
      <c r="K641" s="175">
        <f>MONTH(Tabela1[[#This Row],[Data da Venda]])</f>
        <v>8</v>
      </c>
      <c r="L641" s="175">
        <f>YEAR(Tabela1[[#This Row],[Data da Venda]])</f>
        <v>2013</v>
      </c>
    </row>
    <row r="642" spans="1:12" ht="15" hidden="1" customHeight="1">
      <c r="A642" s="149" t="s">
        <v>425</v>
      </c>
      <c r="B642" s="150" t="s">
        <v>394</v>
      </c>
      <c r="C642" s="171">
        <v>11</v>
      </c>
      <c r="D642" s="171" t="s">
        <v>328</v>
      </c>
      <c r="E642" s="171" t="s">
        <v>340</v>
      </c>
      <c r="F642" s="172">
        <v>41514</v>
      </c>
      <c r="G642" s="172" t="s">
        <v>311</v>
      </c>
      <c r="H642" s="173" t="s">
        <v>61</v>
      </c>
      <c r="I642" s="173">
        <v>189625</v>
      </c>
      <c r="J642" s="174">
        <v>0.5</v>
      </c>
      <c r="K642" s="175">
        <f>MONTH(Tabela1[[#This Row],[Data da Venda]])</f>
        <v>8</v>
      </c>
      <c r="L642" s="175">
        <f>YEAR(Tabela1[[#This Row],[Data da Venda]])</f>
        <v>2013</v>
      </c>
    </row>
    <row r="643" spans="1:12" ht="15" hidden="1" customHeight="1">
      <c r="A643" s="149" t="s">
        <v>425</v>
      </c>
      <c r="B643" s="150" t="s">
        <v>409</v>
      </c>
      <c r="C643" s="171">
        <v>47</v>
      </c>
      <c r="D643" s="171" t="s">
        <v>328</v>
      </c>
      <c r="E643" s="171" t="s">
        <v>340</v>
      </c>
      <c r="F643" s="156">
        <v>41514</v>
      </c>
      <c r="G643" s="172" t="s">
        <v>336</v>
      </c>
      <c r="H643" s="156" t="s">
        <v>24</v>
      </c>
      <c r="I643" s="173">
        <v>553707</v>
      </c>
      <c r="J643" s="174">
        <v>1</v>
      </c>
      <c r="K643" s="175">
        <f>MONTH(Tabela1[[#This Row],[Data da Venda]])</f>
        <v>8</v>
      </c>
      <c r="L643" s="175">
        <f>YEAR(Tabela1[[#This Row],[Data da Venda]])</f>
        <v>2013</v>
      </c>
    </row>
    <row r="644" spans="1:12" ht="15" hidden="1" customHeight="1">
      <c r="A644" s="149" t="s">
        <v>191</v>
      </c>
      <c r="B644" s="150" t="s">
        <v>435</v>
      </c>
      <c r="C644" s="171">
        <v>97</v>
      </c>
      <c r="D644" s="171" t="s">
        <v>328</v>
      </c>
      <c r="E644" s="171" t="s">
        <v>339</v>
      </c>
      <c r="F644" s="172">
        <v>41514</v>
      </c>
      <c r="G644" s="172" t="s">
        <v>19</v>
      </c>
      <c r="H644" s="173" t="s">
        <v>27</v>
      </c>
      <c r="I644" s="173">
        <v>200000</v>
      </c>
      <c r="J644" s="174">
        <v>1</v>
      </c>
      <c r="K644" s="175">
        <f>MONTH(Tabela1[[#This Row],[Data da Venda]])</f>
        <v>8</v>
      </c>
      <c r="L644" s="175">
        <f>YEAR(Tabela1[[#This Row],[Data da Venda]])</f>
        <v>2013</v>
      </c>
    </row>
    <row r="645" spans="1:12" ht="15" hidden="1" customHeight="1">
      <c r="A645" s="151" t="s">
        <v>186</v>
      </c>
      <c r="B645" s="150" t="s">
        <v>418</v>
      </c>
      <c r="C645" s="171">
        <v>609</v>
      </c>
      <c r="D645" s="171" t="s">
        <v>328</v>
      </c>
      <c r="E645" s="171" t="s">
        <v>339</v>
      </c>
      <c r="F645" s="156">
        <v>41514</v>
      </c>
      <c r="G645" s="172" t="s">
        <v>129</v>
      </c>
      <c r="H645" s="173" t="s">
        <v>61</v>
      </c>
      <c r="I645" s="173">
        <v>400000</v>
      </c>
      <c r="J645" s="174">
        <v>1</v>
      </c>
      <c r="K645" s="175">
        <f>MONTH(Tabela1[[#This Row],[Data da Venda]])</f>
        <v>8</v>
      </c>
      <c r="L645" s="175">
        <f>YEAR(Tabela1[[#This Row],[Data da Venda]])</f>
        <v>2013</v>
      </c>
    </row>
    <row r="646" spans="1:12" ht="15" hidden="1" customHeight="1">
      <c r="A646" s="149" t="s">
        <v>425</v>
      </c>
      <c r="B646" s="150" t="s">
        <v>394</v>
      </c>
      <c r="C646" s="171">
        <v>25</v>
      </c>
      <c r="D646" s="171" t="s">
        <v>328</v>
      </c>
      <c r="E646" s="171" t="s">
        <v>340</v>
      </c>
      <c r="F646" s="172">
        <v>41515</v>
      </c>
      <c r="G646" s="172" t="s">
        <v>59</v>
      </c>
      <c r="H646" s="156" t="s">
        <v>25</v>
      </c>
      <c r="I646" s="173">
        <v>381800</v>
      </c>
      <c r="J646" s="174">
        <v>1</v>
      </c>
      <c r="K646" s="175">
        <f>MONTH(Tabela1[[#This Row],[Data da Venda]])</f>
        <v>8</v>
      </c>
      <c r="L646" s="175">
        <f>YEAR(Tabela1[[#This Row],[Data da Venda]])</f>
        <v>2013</v>
      </c>
    </row>
    <row r="647" spans="1:12" ht="15" hidden="1" customHeight="1">
      <c r="A647" s="149" t="s">
        <v>53</v>
      </c>
      <c r="B647" s="150" t="s">
        <v>414</v>
      </c>
      <c r="C647" s="171">
        <v>41</v>
      </c>
      <c r="D647" s="171" t="s">
        <v>328</v>
      </c>
      <c r="E647" s="171" t="s">
        <v>339</v>
      </c>
      <c r="F647" s="172">
        <v>41515</v>
      </c>
      <c r="G647" s="172" t="s">
        <v>197</v>
      </c>
      <c r="H647" s="173" t="s">
        <v>79</v>
      </c>
      <c r="I647" s="173">
        <v>265300</v>
      </c>
      <c r="J647" s="174">
        <v>0.5</v>
      </c>
      <c r="K647" s="175">
        <f>MONTH(Tabela1[[#This Row],[Data da Venda]])</f>
        <v>8</v>
      </c>
      <c r="L647" s="175">
        <f>YEAR(Tabela1[[#This Row],[Data da Venda]])</f>
        <v>2013</v>
      </c>
    </row>
    <row r="648" spans="1:12" ht="15" hidden="1" customHeight="1">
      <c r="A648" s="149" t="s">
        <v>53</v>
      </c>
      <c r="B648" s="150" t="s">
        <v>414</v>
      </c>
      <c r="C648" s="171">
        <v>41</v>
      </c>
      <c r="D648" s="171" t="s">
        <v>328</v>
      </c>
      <c r="E648" s="171" t="s">
        <v>339</v>
      </c>
      <c r="F648" s="172">
        <v>41515</v>
      </c>
      <c r="G648" s="172" t="s">
        <v>87</v>
      </c>
      <c r="H648" s="173" t="s">
        <v>79</v>
      </c>
      <c r="I648" s="173">
        <v>265300</v>
      </c>
      <c r="J648" s="174">
        <v>0.5</v>
      </c>
      <c r="K648" s="175">
        <f>MONTH(Tabela1[[#This Row],[Data da Venda]])</f>
        <v>8</v>
      </c>
      <c r="L648" s="175">
        <f>YEAR(Tabela1[[#This Row],[Data da Venda]])</f>
        <v>2013</v>
      </c>
    </row>
    <row r="649" spans="1:12" ht="15" hidden="1" customHeight="1">
      <c r="A649" s="151" t="s">
        <v>186</v>
      </c>
      <c r="B649" s="150" t="s">
        <v>418</v>
      </c>
      <c r="C649" s="171">
        <v>905</v>
      </c>
      <c r="D649" s="171" t="s">
        <v>328</v>
      </c>
      <c r="E649" s="171" t="s">
        <v>339</v>
      </c>
      <c r="F649" s="172">
        <v>41515</v>
      </c>
      <c r="G649" s="172" t="s">
        <v>77</v>
      </c>
      <c r="H649" s="173" t="s">
        <v>27</v>
      </c>
      <c r="I649" s="173">
        <v>424052</v>
      </c>
      <c r="J649" s="174">
        <v>1</v>
      </c>
      <c r="K649" s="175">
        <f>MONTH(Tabela1[[#This Row],[Data da Venda]])</f>
        <v>8</v>
      </c>
      <c r="L649" s="175">
        <f>YEAR(Tabela1[[#This Row],[Data da Venda]])</f>
        <v>2013</v>
      </c>
    </row>
    <row r="650" spans="1:12" ht="15" hidden="1" customHeight="1">
      <c r="A650" s="149" t="s">
        <v>191</v>
      </c>
      <c r="B650" s="150" t="s">
        <v>385</v>
      </c>
      <c r="C650" s="171">
        <v>116</v>
      </c>
      <c r="D650" s="171" t="s">
        <v>328</v>
      </c>
      <c r="E650" s="171" t="s">
        <v>339</v>
      </c>
      <c r="F650" s="172">
        <v>41516</v>
      </c>
      <c r="G650" s="172" t="s">
        <v>375</v>
      </c>
      <c r="H650" s="173" t="s">
        <v>23</v>
      </c>
      <c r="I650" s="173">
        <v>250000</v>
      </c>
      <c r="J650" s="174">
        <v>1</v>
      </c>
      <c r="K650" s="175">
        <f>MONTH(Tabela1[[#This Row],[Data da Venda]])</f>
        <v>8</v>
      </c>
      <c r="L650" s="175">
        <f>YEAR(Tabela1[[#This Row],[Data da Venda]])</f>
        <v>2013</v>
      </c>
    </row>
    <row r="651" spans="1:12" ht="15" hidden="1" customHeight="1">
      <c r="A651" s="149" t="s">
        <v>419</v>
      </c>
      <c r="B651" s="150" t="s">
        <v>454</v>
      </c>
      <c r="C651" s="171">
        <v>614</v>
      </c>
      <c r="D651" s="171" t="s">
        <v>327</v>
      </c>
      <c r="E651" s="155" t="s">
        <v>327</v>
      </c>
      <c r="F651" s="172">
        <v>41516</v>
      </c>
      <c r="G651" s="156" t="s">
        <v>360</v>
      </c>
      <c r="H651" s="173" t="s">
        <v>362</v>
      </c>
      <c r="I651" s="173">
        <v>424796.27</v>
      </c>
      <c r="J651" s="174">
        <v>1</v>
      </c>
      <c r="K651" s="175">
        <f>MONTH(Tabela1[[#This Row],[Data da Venda]])</f>
        <v>8</v>
      </c>
      <c r="L651" s="175">
        <f>YEAR(Tabela1[[#This Row],[Data da Venda]])</f>
        <v>2013</v>
      </c>
    </row>
    <row r="652" spans="1:12" ht="15" hidden="1" customHeight="1">
      <c r="A652" s="149" t="s">
        <v>233</v>
      </c>
      <c r="B652" s="150" t="s">
        <v>428</v>
      </c>
      <c r="C652" s="171">
        <v>96</v>
      </c>
      <c r="D652" s="155" t="s">
        <v>329</v>
      </c>
      <c r="E652" s="155" t="s">
        <v>339</v>
      </c>
      <c r="F652" s="156">
        <v>41516</v>
      </c>
      <c r="G652" s="156" t="s">
        <v>465</v>
      </c>
      <c r="H652" s="156" t="s">
        <v>33</v>
      </c>
      <c r="I652" s="173">
        <v>361600</v>
      </c>
      <c r="J652" s="174">
        <v>1</v>
      </c>
      <c r="K652" s="175">
        <f>MONTH(Tabela1[[#This Row],[Data da Venda]])</f>
        <v>8</v>
      </c>
      <c r="L652" s="175">
        <f>YEAR(Tabela1[[#This Row],[Data da Venda]])</f>
        <v>2013</v>
      </c>
    </row>
    <row r="653" spans="1:12" ht="15" hidden="1" customHeight="1">
      <c r="A653" s="149" t="s">
        <v>429</v>
      </c>
      <c r="B653" s="150" t="s">
        <v>430</v>
      </c>
      <c r="C653" s="155" t="s">
        <v>451</v>
      </c>
      <c r="D653" s="171" t="s">
        <v>328</v>
      </c>
      <c r="E653" s="171" t="s">
        <v>339</v>
      </c>
      <c r="F653" s="172">
        <v>41516</v>
      </c>
      <c r="G653" s="172" t="s">
        <v>379</v>
      </c>
      <c r="H653" s="173" t="s">
        <v>79</v>
      </c>
      <c r="I653" s="173">
        <v>436000</v>
      </c>
      <c r="J653" s="174">
        <v>1</v>
      </c>
      <c r="K653" s="175">
        <f>MONTH(Tabela1[[#This Row],[Data da Venda]])</f>
        <v>8</v>
      </c>
      <c r="L653" s="175">
        <f>YEAR(Tabela1[[#This Row],[Data da Venda]])</f>
        <v>2013</v>
      </c>
    </row>
    <row r="654" spans="1:12" ht="15" hidden="1" customHeight="1">
      <c r="A654" s="149" t="s">
        <v>425</v>
      </c>
      <c r="B654" s="150" t="s">
        <v>409</v>
      </c>
      <c r="C654" s="171">
        <v>77</v>
      </c>
      <c r="D654" s="155" t="s">
        <v>329</v>
      </c>
      <c r="E654" s="171" t="s">
        <v>340</v>
      </c>
      <c r="F654" s="172">
        <v>41516</v>
      </c>
      <c r="G654" s="156" t="s">
        <v>465</v>
      </c>
      <c r="H654" s="156" t="s">
        <v>33</v>
      </c>
      <c r="I654" s="173">
        <v>561263.79</v>
      </c>
      <c r="J654" s="174">
        <v>1</v>
      </c>
      <c r="K654" s="175">
        <f>MONTH(Tabela1[[#This Row],[Data da Venda]])</f>
        <v>8</v>
      </c>
      <c r="L654" s="175">
        <f>YEAR(Tabela1[[#This Row],[Data da Venda]])</f>
        <v>2013</v>
      </c>
    </row>
    <row r="655" spans="1:12" ht="15" hidden="1" customHeight="1">
      <c r="A655" s="149" t="s">
        <v>425</v>
      </c>
      <c r="B655" s="150" t="s">
        <v>394</v>
      </c>
      <c r="C655" s="171">
        <v>31</v>
      </c>
      <c r="D655" s="171" t="s">
        <v>328</v>
      </c>
      <c r="E655" s="171" t="s">
        <v>340</v>
      </c>
      <c r="F655" s="172">
        <v>41517</v>
      </c>
      <c r="G655" s="172" t="s">
        <v>67</v>
      </c>
      <c r="H655" s="173" t="s">
        <v>26</v>
      </c>
      <c r="I655" s="173">
        <v>337500</v>
      </c>
      <c r="J655" s="174">
        <v>1</v>
      </c>
      <c r="K655" s="175">
        <f>MONTH(Tabela1[[#This Row],[Data da Venda]])</f>
        <v>8</v>
      </c>
      <c r="L655" s="175">
        <f>YEAR(Tabela1[[#This Row],[Data da Venda]])</f>
        <v>2013</v>
      </c>
    </row>
    <row r="656" spans="1:12" ht="15" hidden="1" customHeight="1">
      <c r="A656" s="149" t="s">
        <v>425</v>
      </c>
      <c r="B656" s="150" t="s">
        <v>394</v>
      </c>
      <c r="C656" s="171">
        <v>43</v>
      </c>
      <c r="D656" s="171" t="s">
        <v>328</v>
      </c>
      <c r="E656" s="171" t="s">
        <v>340</v>
      </c>
      <c r="F656" s="172">
        <v>41517</v>
      </c>
      <c r="G656" s="172" t="s">
        <v>63</v>
      </c>
      <c r="H656" s="156" t="s">
        <v>25</v>
      </c>
      <c r="I656" s="173">
        <v>219650</v>
      </c>
      <c r="J656" s="174">
        <v>0.5</v>
      </c>
      <c r="K656" s="175">
        <f>MONTH(Tabela1[[#This Row],[Data da Venda]])</f>
        <v>8</v>
      </c>
      <c r="L656" s="175">
        <f>YEAR(Tabela1[[#This Row],[Data da Venda]])</f>
        <v>2013</v>
      </c>
    </row>
    <row r="657" spans="1:12" ht="15" hidden="1" customHeight="1">
      <c r="A657" s="149" t="s">
        <v>425</v>
      </c>
      <c r="B657" s="150" t="s">
        <v>394</v>
      </c>
      <c r="C657" s="171">
        <v>43</v>
      </c>
      <c r="D657" s="171" t="s">
        <v>328</v>
      </c>
      <c r="E657" s="171" t="s">
        <v>340</v>
      </c>
      <c r="F657" s="172">
        <v>41517</v>
      </c>
      <c r="G657" s="172" t="s">
        <v>206</v>
      </c>
      <c r="H657" s="156" t="s">
        <v>25</v>
      </c>
      <c r="I657" s="173">
        <v>219650</v>
      </c>
      <c r="J657" s="174">
        <v>0.5</v>
      </c>
      <c r="K657" s="175">
        <f>MONTH(Tabela1[[#This Row],[Data da Venda]])</f>
        <v>8</v>
      </c>
      <c r="L657" s="175">
        <f>YEAR(Tabela1[[#This Row],[Data da Venda]])</f>
        <v>2013</v>
      </c>
    </row>
    <row r="658" spans="1:12" ht="15" hidden="1" customHeight="1">
      <c r="A658" s="149" t="s">
        <v>425</v>
      </c>
      <c r="B658" s="150" t="s">
        <v>394</v>
      </c>
      <c r="C658" s="171">
        <v>47</v>
      </c>
      <c r="D658" s="171" t="s">
        <v>328</v>
      </c>
      <c r="E658" s="171" t="s">
        <v>340</v>
      </c>
      <c r="F658" s="172">
        <v>41517</v>
      </c>
      <c r="G658" s="172" t="s">
        <v>302</v>
      </c>
      <c r="H658" s="156" t="s">
        <v>25</v>
      </c>
      <c r="I658" s="173">
        <v>502255</v>
      </c>
      <c r="J658" s="174">
        <v>1</v>
      </c>
      <c r="K658" s="175">
        <f>MONTH(Tabela1[[#This Row],[Data da Venda]])</f>
        <v>8</v>
      </c>
      <c r="L658" s="175">
        <f>YEAR(Tabela1[[#This Row],[Data da Venda]])</f>
        <v>2013</v>
      </c>
    </row>
    <row r="659" spans="1:12" ht="15" hidden="1" customHeight="1">
      <c r="A659" s="149" t="s">
        <v>425</v>
      </c>
      <c r="B659" s="150" t="s">
        <v>409</v>
      </c>
      <c r="C659" s="171">
        <v>57</v>
      </c>
      <c r="D659" s="171" t="s">
        <v>328</v>
      </c>
      <c r="E659" s="171" t="s">
        <v>340</v>
      </c>
      <c r="F659" s="172">
        <v>41517</v>
      </c>
      <c r="G659" s="172" t="s">
        <v>275</v>
      </c>
      <c r="H659" s="173" t="s">
        <v>27</v>
      </c>
      <c r="I659" s="173">
        <v>490899.45</v>
      </c>
      <c r="J659" s="174">
        <v>1</v>
      </c>
      <c r="K659" s="175">
        <f>MONTH(Tabela1[[#This Row],[Data da Venda]])</f>
        <v>8</v>
      </c>
      <c r="L659" s="175">
        <f>YEAR(Tabela1[[#This Row],[Data da Venda]])</f>
        <v>2013</v>
      </c>
    </row>
    <row r="660" spans="1:12" ht="15" hidden="1" customHeight="1">
      <c r="A660" s="149" t="s">
        <v>191</v>
      </c>
      <c r="B660" s="150" t="s">
        <v>385</v>
      </c>
      <c r="C660" s="171">
        <v>156</v>
      </c>
      <c r="D660" s="171" t="s">
        <v>328</v>
      </c>
      <c r="E660" s="171" t="s">
        <v>339</v>
      </c>
      <c r="F660" s="172">
        <v>41517</v>
      </c>
      <c r="G660" s="172" t="s">
        <v>19</v>
      </c>
      <c r="H660" s="173" t="s">
        <v>27</v>
      </c>
      <c r="I660" s="173">
        <v>250000</v>
      </c>
      <c r="J660" s="174">
        <v>1</v>
      </c>
      <c r="K660" s="175">
        <f>MONTH(Tabela1[[#This Row],[Data da Venda]])</f>
        <v>8</v>
      </c>
      <c r="L660" s="175">
        <f>YEAR(Tabela1[[#This Row],[Data da Venda]])</f>
        <v>2013</v>
      </c>
    </row>
    <row r="661" spans="1:12" ht="15" hidden="1" customHeight="1">
      <c r="A661" s="149" t="s">
        <v>208</v>
      </c>
      <c r="B661" s="150" t="s">
        <v>388</v>
      </c>
      <c r="C661" s="171">
        <v>163</v>
      </c>
      <c r="D661" s="171" t="s">
        <v>328</v>
      </c>
      <c r="E661" s="171" t="s">
        <v>339</v>
      </c>
      <c r="F661" s="172">
        <v>41517</v>
      </c>
      <c r="G661" s="172" t="s">
        <v>37</v>
      </c>
      <c r="H661" s="173" t="s">
        <v>61</v>
      </c>
      <c r="I661" s="173">
        <v>255000</v>
      </c>
      <c r="J661" s="174">
        <v>1</v>
      </c>
      <c r="K661" s="175">
        <f>MONTH(Tabela1[[#This Row],[Data da Venda]])</f>
        <v>8</v>
      </c>
      <c r="L661" s="175">
        <f>YEAR(Tabela1[[#This Row],[Data da Venda]])</f>
        <v>2013</v>
      </c>
    </row>
    <row r="662" spans="1:12" ht="15" hidden="1" customHeight="1">
      <c r="A662" s="149" t="s">
        <v>425</v>
      </c>
      <c r="B662" s="150" t="s">
        <v>394</v>
      </c>
      <c r="C662" s="171">
        <v>51</v>
      </c>
      <c r="D662" s="171" t="s">
        <v>328</v>
      </c>
      <c r="E662" s="171" t="s">
        <v>340</v>
      </c>
      <c r="F662" s="172">
        <v>41519</v>
      </c>
      <c r="G662" s="172" t="s">
        <v>302</v>
      </c>
      <c r="H662" s="156" t="s">
        <v>25</v>
      </c>
      <c r="I662" s="173">
        <v>387900</v>
      </c>
      <c r="J662" s="174">
        <v>1</v>
      </c>
      <c r="K662" s="175">
        <f>MONTH(Tabela1[[#This Row],[Data da Venda]])</f>
        <v>9</v>
      </c>
      <c r="L662" s="175">
        <f>YEAR(Tabela1[[#This Row],[Data da Venda]])</f>
        <v>2013</v>
      </c>
    </row>
    <row r="663" spans="1:12" ht="15" hidden="1" customHeight="1">
      <c r="A663" s="169" t="s">
        <v>380</v>
      </c>
      <c r="B663" s="150" t="s">
        <v>390</v>
      </c>
      <c r="C663" s="171">
        <v>94</v>
      </c>
      <c r="D663" s="171" t="s">
        <v>327</v>
      </c>
      <c r="E663" s="155" t="s">
        <v>327</v>
      </c>
      <c r="F663" s="172">
        <v>41519</v>
      </c>
      <c r="G663" s="156" t="s">
        <v>360</v>
      </c>
      <c r="H663" s="173" t="s">
        <v>362</v>
      </c>
      <c r="I663" s="173">
        <v>710714.37</v>
      </c>
      <c r="J663" s="174">
        <v>1</v>
      </c>
      <c r="K663" s="175">
        <f>MONTH(Tabela1[[#This Row],[Data da Venda]])</f>
        <v>9</v>
      </c>
      <c r="L663" s="175">
        <f>YEAR(Tabela1[[#This Row],[Data da Venda]])</f>
        <v>2013</v>
      </c>
    </row>
    <row r="664" spans="1:12" ht="15" hidden="1" customHeight="1">
      <c r="A664" s="149" t="s">
        <v>208</v>
      </c>
      <c r="B664" s="150" t="s">
        <v>399</v>
      </c>
      <c r="C664" s="171">
        <v>178</v>
      </c>
      <c r="D664" s="171" t="s">
        <v>328</v>
      </c>
      <c r="E664" s="171" t="s">
        <v>339</v>
      </c>
      <c r="F664" s="172">
        <v>41520</v>
      </c>
      <c r="G664" s="172" t="s">
        <v>18</v>
      </c>
      <c r="H664" s="156" t="s">
        <v>25</v>
      </c>
      <c r="I664" s="173">
        <v>256500</v>
      </c>
      <c r="J664" s="174">
        <v>1</v>
      </c>
      <c r="K664" s="175">
        <f>MONTH(Tabela1[[#This Row],[Data da Venda]])</f>
        <v>9</v>
      </c>
      <c r="L664" s="175">
        <f>YEAR(Tabela1[[#This Row],[Data da Venda]])</f>
        <v>2013</v>
      </c>
    </row>
    <row r="665" spans="1:12" ht="15" hidden="1" customHeight="1">
      <c r="A665" s="169" t="s">
        <v>452</v>
      </c>
      <c r="B665" s="150" t="s">
        <v>453</v>
      </c>
      <c r="C665" s="171">
        <v>171</v>
      </c>
      <c r="D665" s="171" t="s">
        <v>329</v>
      </c>
      <c r="E665" s="171" t="s">
        <v>339</v>
      </c>
      <c r="F665" s="172">
        <v>41520</v>
      </c>
      <c r="G665" s="156" t="s">
        <v>337</v>
      </c>
      <c r="H665" s="173" t="s">
        <v>33</v>
      </c>
      <c r="I665" s="173">
        <v>860000</v>
      </c>
      <c r="J665" s="174">
        <v>1</v>
      </c>
      <c r="K665" s="175">
        <f>MONTH(Tabela1[[#This Row],[Data da Venda]])</f>
        <v>9</v>
      </c>
      <c r="L665" s="175">
        <f>YEAR(Tabela1[[#This Row],[Data da Venda]])</f>
        <v>2013</v>
      </c>
    </row>
    <row r="666" spans="1:12" ht="15" hidden="1" customHeight="1">
      <c r="A666" s="149" t="s">
        <v>415</v>
      </c>
      <c r="B666" s="150" t="s">
        <v>416</v>
      </c>
      <c r="C666" s="171">
        <v>505</v>
      </c>
      <c r="D666" s="171" t="s">
        <v>328</v>
      </c>
      <c r="E666" s="171" t="s">
        <v>340</v>
      </c>
      <c r="F666" s="172">
        <v>41521</v>
      </c>
      <c r="G666" s="172" t="s">
        <v>197</v>
      </c>
      <c r="H666" s="173" t="s">
        <v>79</v>
      </c>
      <c r="I666" s="173">
        <v>609100</v>
      </c>
      <c r="J666" s="174">
        <v>1</v>
      </c>
      <c r="K666" s="175">
        <f>MONTH(Tabela1[[#This Row],[Data da Venda]])</f>
        <v>9</v>
      </c>
      <c r="L666" s="175">
        <f>YEAR(Tabela1[[#This Row],[Data da Venda]])</f>
        <v>2013</v>
      </c>
    </row>
    <row r="667" spans="1:12" ht="15" hidden="1" customHeight="1">
      <c r="A667" s="149" t="s">
        <v>425</v>
      </c>
      <c r="B667" s="150" t="s">
        <v>409</v>
      </c>
      <c r="C667" s="171">
        <v>21</v>
      </c>
      <c r="D667" s="171" t="s">
        <v>328</v>
      </c>
      <c r="E667" s="171" t="s">
        <v>340</v>
      </c>
      <c r="F667" s="172">
        <v>41525</v>
      </c>
      <c r="G667" s="172" t="s">
        <v>282</v>
      </c>
      <c r="H667" s="173" t="s">
        <v>26</v>
      </c>
      <c r="I667" s="173">
        <v>373000</v>
      </c>
      <c r="J667" s="174">
        <v>1</v>
      </c>
      <c r="K667" s="175">
        <f>MONTH(Tabela1[[#This Row],[Data da Venda]])</f>
        <v>9</v>
      </c>
      <c r="L667" s="175">
        <f>YEAR(Tabela1[[#This Row],[Data da Venda]])</f>
        <v>2013</v>
      </c>
    </row>
    <row r="668" spans="1:12" ht="15" hidden="1" customHeight="1">
      <c r="A668" s="149" t="s">
        <v>425</v>
      </c>
      <c r="B668" s="150" t="s">
        <v>409</v>
      </c>
      <c r="C668" s="171">
        <v>28</v>
      </c>
      <c r="D668" s="171" t="s">
        <v>328</v>
      </c>
      <c r="E668" s="171" t="s">
        <v>340</v>
      </c>
      <c r="F668" s="172">
        <v>41525</v>
      </c>
      <c r="G668" s="172" t="s">
        <v>282</v>
      </c>
      <c r="H668" s="173" t="s">
        <v>26</v>
      </c>
      <c r="I668" s="173">
        <v>373000</v>
      </c>
      <c r="J668" s="174">
        <v>1</v>
      </c>
      <c r="K668" s="175">
        <f>MONTH(Tabela1[[#This Row],[Data da Venda]])</f>
        <v>9</v>
      </c>
      <c r="L668" s="175">
        <f>YEAR(Tabela1[[#This Row],[Data da Venda]])</f>
        <v>2013</v>
      </c>
    </row>
    <row r="669" spans="1:12" ht="15" hidden="1" customHeight="1">
      <c r="A669" s="149" t="s">
        <v>191</v>
      </c>
      <c r="B669" s="150" t="s">
        <v>435</v>
      </c>
      <c r="C669" s="171">
        <v>83</v>
      </c>
      <c r="D669" s="171" t="s">
        <v>328</v>
      </c>
      <c r="E669" s="171" t="s">
        <v>339</v>
      </c>
      <c r="F669" s="172">
        <v>41525</v>
      </c>
      <c r="G669" s="172" t="s">
        <v>148</v>
      </c>
      <c r="H669" s="173" t="s">
        <v>26</v>
      </c>
      <c r="I669" s="173">
        <v>206945.2</v>
      </c>
      <c r="J669" s="174">
        <v>1</v>
      </c>
      <c r="K669" s="175">
        <f>MONTH(Tabela1[[#This Row],[Data da Venda]])</f>
        <v>9</v>
      </c>
      <c r="L669" s="175">
        <f>YEAR(Tabela1[[#This Row],[Data da Venda]])</f>
        <v>2013</v>
      </c>
    </row>
    <row r="670" spans="1:12" ht="15" hidden="1" customHeight="1">
      <c r="A670" s="149" t="s">
        <v>425</v>
      </c>
      <c r="B670" s="150" t="s">
        <v>394</v>
      </c>
      <c r="C670" s="171">
        <v>46</v>
      </c>
      <c r="D670" s="171" t="s">
        <v>329</v>
      </c>
      <c r="E670" s="171" t="s">
        <v>340</v>
      </c>
      <c r="F670" s="172">
        <v>41526</v>
      </c>
      <c r="G670" s="156" t="s">
        <v>465</v>
      </c>
      <c r="H670" s="156" t="s">
        <v>33</v>
      </c>
      <c r="I670" s="173">
        <v>430390.06</v>
      </c>
      <c r="J670" s="174">
        <v>1</v>
      </c>
      <c r="K670" s="175">
        <f>MONTH(Tabela1[[#This Row],[Data da Venda]])</f>
        <v>9</v>
      </c>
      <c r="L670" s="175">
        <f>YEAR(Tabela1[[#This Row],[Data da Venda]])</f>
        <v>2013</v>
      </c>
    </row>
    <row r="671" spans="1:12" ht="15" hidden="1" customHeight="1">
      <c r="A671" s="151" t="s">
        <v>186</v>
      </c>
      <c r="B671" s="150" t="s">
        <v>418</v>
      </c>
      <c r="C671" s="171">
        <v>402</v>
      </c>
      <c r="D671" s="171" t="s">
        <v>329</v>
      </c>
      <c r="E671" s="171" t="s">
        <v>339</v>
      </c>
      <c r="F671" s="172">
        <v>41527</v>
      </c>
      <c r="G671" s="156" t="s">
        <v>337</v>
      </c>
      <c r="H671" s="173" t="s">
        <v>33</v>
      </c>
      <c r="I671" s="173">
        <v>400000</v>
      </c>
      <c r="J671" s="174">
        <v>1</v>
      </c>
      <c r="K671" s="175">
        <f>MONTH(Tabela1[[#This Row],[Data da Venda]])</f>
        <v>9</v>
      </c>
      <c r="L671" s="175">
        <f>YEAR(Tabela1[[#This Row],[Data da Venda]])</f>
        <v>2013</v>
      </c>
    </row>
    <row r="672" spans="1:12" ht="15" hidden="1" customHeight="1">
      <c r="A672" s="149" t="s">
        <v>422</v>
      </c>
      <c r="B672" s="150" t="s">
        <v>387</v>
      </c>
      <c r="C672" s="171">
        <v>22</v>
      </c>
      <c r="D672" s="171" t="s">
        <v>328</v>
      </c>
      <c r="E672" s="171" t="s">
        <v>339</v>
      </c>
      <c r="F672" s="172">
        <v>41528</v>
      </c>
      <c r="G672" s="172" t="s">
        <v>40</v>
      </c>
      <c r="H672" s="173" t="s">
        <v>61</v>
      </c>
      <c r="I672" s="173">
        <v>840000</v>
      </c>
      <c r="J672" s="174">
        <v>1</v>
      </c>
      <c r="K672" s="175">
        <f>MONTH(Tabela1[[#This Row],[Data da Venda]])</f>
        <v>9</v>
      </c>
      <c r="L672" s="175">
        <f>YEAR(Tabela1[[#This Row],[Data da Venda]])</f>
        <v>2013</v>
      </c>
    </row>
    <row r="673" spans="1:12" ht="15" hidden="1" customHeight="1">
      <c r="A673" s="149" t="s">
        <v>233</v>
      </c>
      <c r="B673" s="150" t="s">
        <v>428</v>
      </c>
      <c r="C673" s="171">
        <v>42</v>
      </c>
      <c r="D673" s="171" t="s">
        <v>328</v>
      </c>
      <c r="E673" s="171" t="s">
        <v>339</v>
      </c>
      <c r="F673" s="172">
        <v>41528</v>
      </c>
      <c r="G673" s="172" t="s">
        <v>381</v>
      </c>
      <c r="H673" s="173" t="s">
        <v>27</v>
      </c>
      <c r="I673" s="173">
        <v>340000</v>
      </c>
      <c r="J673" s="174">
        <v>1</v>
      </c>
      <c r="K673" s="175">
        <f>MONTH(Tabela1[[#This Row],[Data da Venda]])</f>
        <v>9</v>
      </c>
      <c r="L673" s="175">
        <f>YEAR(Tabela1[[#This Row],[Data da Venda]])</f>
        <v>2013</v>
      </c>
    </row>
    <row r="674" spans="1:12" ht="15" hidden="1" customHeight="1">
      <c r="A674" s="149" t="s">
        <v>233</v>
      </c>
      <c r="B674" s="150" t="s">
        <v>428</v>
      </c>
      <c r="C674" s="171">
        <v>47</v>
      </c>
      <c r="D674" s="171" t="s">
        <v>328</v>
      </c>
      <c r="E674" s="171" t="s">
        <v>339</v>
      </c>
      <c r="F674" s="172">
        <v>41528</v>
      </c>
      <c r="G674" s="172" t="s">
        <v>262</v>
      </c>
      <c r="H674" s="156" t="s">
        <v>24</v>
      </c>
      <c r="I674" s="173">
        <v>340000</v>
      </c>
      <c r="J674" s="174">
        <v>1</v>
      </c>
      <c r="K674" s="175">
        <f>MONTH(Tabela1[[#This Row],[Data da Venda]])</f>
        <v>9</v>
      </c>
      <c r="L674" s="175">
        <f>YEAR(Tabela1[[#This Row],[Data da Venda]])</f>
        <v>2013</v>
      </c>
    </row>
    <row r="675" spans="1:12" ht="15" hidden="1" customHeight="1">
      <c r="A675" s="149" t="s">
        <v>53</v>
      </c>
      <c r="B675" s="150" t="s">
        <v>414</v>
      </c>
      <c r="C675" s="171">
        <v>102</v>
      </c>
      <c r="D675" s="171" t="s">
        <v>328</v>
      </c>
      <c r="E675" s="171" t="s">
        <v>339</v>
      </c>
      <c r="F675" s="172">
        <v>41529</v>
      </c>
      <c r="G675" s="172" t="s">
        <v>44</v>
      </c>
      <c r="H675" s="156" t="s">
        <v>25</v>
      </c>
      <c r="I675" s="173">
        <v>725973.53</v>
      </c>
      <c r="J675" s="174">
        <v>1</v>
      </c>
      <c r="K675" s="175">
        <f>MONTH(Tabela1[[#This Row],[Data da Venda]])</f>
        <v>9</v>
      </c>
      <c r="L675" s="175">
        <f>YEAR(Tabela1[[#This Row],[Data da Venda]])</f>
        <v>2013</v>
      </c>
    </row>
    <row r="676" spans="1:12" ht="15" hidden="1" customHeight="1">
      <c r="A676" s="169" t="s">
        <v>382</v>
      </c>
      <c r="B676" s="150" t="s">
        <v>408</v>
      </c>
      <c r="C676" s="171">
        <v>273</v>
      </c>
      <c r="D676" s="171" t="s">
        <v>329</v>
      </c>
      <c r="E676" s="171" t="s">
        <v>339</v>
      </c>
      <c r="F676" s="172">
        <v>41530</v>
      </c>
      <c r="G676" s="156" t="s">
        <v>337</v>
      </c>
      <c r="H676" s="173" t="s">
        <v>33</v>
      </c>
      <c r="I676" s="173">
        <v>1150000</v>
      </c>
      <c r="J676" s="174">
        <v>0.5</v>
      </c>
      <c r="K676" s="175">
        <f>MONTH(Tabela1[[#This Row],[Data da Venda]])</f>
        <v>9</v>
      </c>
      <c r="L676" s="175">
        <f>YEAR(Tabela1[[#This Row],[Data da Venda]])</f>
        <v>2013</v>
      </c>
    </row>
    <row r="677" spans="1:12" ht="15" hidden="1" customHeight="1">
      <c r="A677" s="169" t="s">
        <v>382</v>
      </c>
      <c r="B677" s="150" t="s">
        <v>408</v>
      </c>
      <c r="C677" s="171">
        <v>273</v>
      </c>
      <c r="D677" s="171" t="s">
        <v>329</v>
      </c>
      <c r="E677" s="171" t="s">
        <v>339</v>
      </c>
      <c r="F677" s="172">
        <v>41530</v>
      </c>
      <c r="G677" s="156" t="s">
        <v>465</v>
      </c>
      <c r="H677" s="156" t="s">
        <v>33</v>
      </c>
      <c r="I677" s="173">
        <v>1150000</v>
      </c>
      <c r="J677" s="174">
        <v>0.5</v>
      </c>
      <c r="K677" s="175">
        <f>MONTH(Tabela1[[#This Row],[Data da Venda]])</f>
        <v>9</v>
      </c>
      <c r="L677" s="175">
        <f>YEAR(Tabela1[[#This Row],[Data da Venda]])</f>
        <v>2013</v>
      </c>
    </row>
    <row r="678" spans="1:12" ht="15" hidden="1" customHeight="1">
      <c r="A678" s="149" t="s">
        <v>233</v>
      </c>
      <c r="B678" s="150" t="s">
        <v>428</v>
      </c>
      <c r="C678" s="171">
        <v>66</v>
      </c>
      <c r="D678" s="171" t="s">
        <v>328</v>
      </c>
      <c r="E678" s="171" t="s">
        <v>339</v>
      </c>
      <c r="F678" s="172">
        <v>41530</v>
      </c>
      <c r="G678" s="172" t="s">
        <v>48</v>
      </c>
      <c r="H678" s="156" t="s">
        <v>25</v>
      </c>
      <c r="I678" s="173">
        <v>372100</v>
      </c>
      <c r="J678" s="174">
        <v>1</v>
      </c>
      <c r="K678" s="175">
        <f>MONTH(Tabela1[[#This Row],[Data da Venda]])</f>
        <v>9</v>
      </c>
      <c r="L678" s="175">
        <f>YEAR(Tabela1[[#This Row],[Data da Venda]])</f>
        <v>2013</v>
      </c>
    </row>
    <row r="679" spans="1:12" ht="15" hidden="1" customHeight="1">
      <c r="A679" s="149" t="s">
        <v>425</v>
      </c>
      <c r="B679" s="150" t="s">
        <v>394</v>
      </c>
      <c r="C679" s="171">
        <v>88</v>
      </c>
      <c r="D679" s="171" t="s">
        <v>328</v>
      </c>
      <c r="E679" s="171" t="s">
        <v>340</v>
      </c>
      <c r="F679" s="172">
        <v>41531</v>
      </c>
      <c r="G679" s="172" t="s">
        <v>302</v>
      </c>
      <c r="H679" s="156" t="s">
        <v>25</v>
      </c>
      <c r="I679" s="173">
        <v>390400</v>
      </c>
      <c r="J679" s="174">
        <v>1</v>
      </c>
      <c r="K679" s="175">
        <f>MONTH(Tabela1[[#This Row],[Data da Venda]])</f>
        <v>9</v>
      </c>
      <c r="L679" s="175">
        <f>YEAR(Tabela1[[#This Row],[Data da Venda]])</f>
        <v>2013</v>
      </c>
    </row>
    <row r="680" spans="1:12" ht="15" hidden="1" customHeight="1">
      <c r="A680" s="149" t="s">
        <v>425</v>
      </c>
      <c r="B680" s="150" t="s">
        <v>409</v>
      </c>
      <c r="C680" s="171">
        <v>35</v>
      </c>
      <c r="D680" s="171" t="s">
        <v>328</v>
      </c>
      <c r="E680" s="171" t="s">
        <v>340</v>
      </c>
      <c r="F680" s="172">
        <v>41534</v>
      </c>
      <c r="G680" s="172" t="s">
        <v>286</v>
      </c>
      <c r="H680" s="173" t="s">
        <v>61</v>
      </c>
      <c r="I680" s="173">
        <v>378800</v>
      </c>
      <c r="J680" s="174">
        <v>1</v>
      </c>
      <c r="K680" s="175">
        <f>MONTH(Tabela1[[#This Row],[Data da Venda]])</f>
        <v>9</v>
      </c>
      <c r="L680" s="175">
        <f>YEAR(Tabela1[[#This Row],[Data da Venda]])</f>
        <v>2013</v>
      </c>
    </row>
    <row r="681" spans="1:12" ht="15" hidden="1" customHeight="1">
      <c r="A681" s="149" t="s">
        <v>191</v>
      </c>
      <c r="B681" s="150" t="s">
        <v>435</v>
      </c>
      <c r="C681" s="171">
        <v>93</v>
      </c>
      <c r="D681" s="171" t="s">
        <v>328</v>
      </c>
      <c r="E681" s="171" t="s">
        <v>339</v>
      </c>
      <c r="F681" s="172">
        <v>41534</v>
      </c>
      <c r="G681" s="172" t="s">
        <v>19</v>
      </c>
      <c r="H681" s="173" t="s">
        <v>27</v>
      </c>
      <c r="I681" s="173">
        <v>195000</v>
      </c>
      <c r="J681" s="174">
        <v>1</v>
      </c>
      <c r="K681" s="175">
        <f>MONTH(Tabela1[[#This Row],[Data da Venda]])</f>
        <v>9</v>
      </c>
      <c r="L681" s="175">
        <f>YEAR(Tabela1[[#This Row],[Data da Venda]])</f>
        <v>2013</v>
      </c>
    </row>
    <row r="682" spans="1:12" ht="15" hidden="1" customHeight="1">
      <c r="A682" s="149" t="s">
        <v>89</v>
      </c>
      <c r="B682" s="150" t="s">
        <v>426</v>
      </c>
      <c r="C682" s="171">
        <v>142</v>
      </c>
      <c r="D682" s="171" t="s">
        <v>328</v>
      </c>
      <c r="E682" s="171" t="s">
        <v>339</v>
      </c>
      <c r="F682" s="172">
        <v>41535</v>
      </c>
      <c r="G682" s="172" t="s">
        <v>173</v>
      </c>
      <c r="H682" s="156" t="s">
        <v>25</v>
      </c>
      <c r="I682" s="173">
        <v>2130000</v>
      </c>
      <c r="J682" s="174">
        <v>1</v>
      </c>
      <c r="K682" s="175">
        <f>MONTH(Tabela1[[#This Row],[Data da Venda]])</f>
        <v>9</v>
      </c>
      <c r="L682" s="175">
        <f>YEAR(Tabela1[[#This Row],[Data da Venda]])</f>
        <v>2013</v>
      </c>
    </row>
    <row r="683" spans="1:12" ht="15" hidden="1" customHeight="1">
      <c r="A683" s="149" t="s">
        <v>425</v>
      </c>
      <c r="B683" s="150" t="s">
        <v>394</v>
      </c>
      <c r="C683" s="171">
        <v>76</v>
      </c>
      <c r="D683" s="171" t="s">
        <v>328</v>
      </c>
      <c r="E683" s="171" t="s">
        <v>340</v>
      </c>
      <c r="F683" s="172">
        <v>41535</v>
      </c>
      <c r="G683" s="172" t="s">
        <v>304</v>
      </c>
      <c r="H683" s="156" t="s">
        <v>25</v>
      </c>
      <c r="I683" s="173">
        <v>545648.89</v>
      </c>
      <c r="J683" s="174">
        <v>1</v>
      </c>
      <c r="K683" s="175">
        <f>MONTH(Tabela1[[#This Row],[Data da Venda]])</f>
        <v>9</v>
      </c>
      <c r="L683" s="175">
        <f>YEAR(Tabela1[[#This Row],[Data da Venda]])</f>
        <v>2013</v>
      </c>
    </row>
    <row r="684" spans="1:12" ht="15" hidden="1" customHeight="1">
      <c r="A684" s="149" t="s">
        <v>208</v>
      </c>
      <c r="B684" s="150" t="s">
        <v>388</v>
      </c>
      <c r="C684" s="171">
        <v>46</v>
      </c>
      <c r="D684" s="171" t="s">
        <v>328</v>
      </c>
      <c r="E684" s="171" t="s">
        <v>339</v>
      </c>
      <c r="F684" s="172">
        <v>41538</v>
      </c>
      <c r="G684" s="172" t="s">
        <v>253</v>
      </c>
      <c r="H684" s="173" t="s">
        <v>26</v>
      </c>
      <c r="I684" s="173">
        <v>324950</v>
      </c>
      <c r="J684" s="174">
        <v>1</v>
      </c>
      <c r="K684" s="175">
        <f>MONTH(Tabela1[[#This Row],[Data da Venda]])</f>
        <v>9</v>
      </c>
      <c r="L684" s="175">
        <f>YEAR(Tabela1[[#This Row],[Data da Venda]])</f>
        <v>2013</v>
      </c>
    </row>
    <row r="685" spans="1:12" ht="15" hidden="1" customHeight="1">
      <c r="A685" s="149" t="s">
        <v>415</v>
      </c>
      <c r="B685" s="150" t="s">
        <v>416</v>
      </c>
      <c r="C685" s="171">
        <v>2615</v>
      </c>
      <c r="D685" s="171" t="s">
        <v>328</v>
      </c>
      <c r="E685" s="171" t="s">
        <v>340</v>
      </c>
      <c r="F685" s="172">
        <v>41539</v>
      </c>
      <c r="G685" s="172" t="s">
        <v>62</v>
      </c>
      <c r="H685" s="156" t="s">
        <v>25</v>
      </c>
      <c r="I685" s="173">
        <v>358073.52</v>
      </c>
      <c r="J685" s="174">
        <v>1</v>
      </c>
      <c r="K685" s="175">
        <f>MONTH(Tabela1[[#This Row],[Data da Venda]])</f>
        <v>9</v>
      </c>
      <c r="L685" s="175">
        <f>YEAR(Tabela1[[#This Row],[Data da Venda]])</f>
        <v>2013</v>
      </c>
    </row>
    <row r="686" spans="1:12" ht="15" hidden="1" customHeight="1">
      <c r="A686" s="149" t="s">
        <v>191</v>
      </c>
      <c r="B686" s="150" t="s">
        <v>385</v>
      </c>
      <c r="C686" s="171">
        <v>162</v>
      </c>
      <c r="D686" s="171" t="s">
        <v>328</v>
      </c>
      <c r="E686" s="171" t="s">
        <v>339</v>
      </c>
      <c r="F686" s="172">
        <v>41541</v>
      </c>
      <c r="G686" s="172" t="s">
        <v>235</v>
      </c>
      <c r="H686" s="173" t="s">
        <v>27</v>
      </c>
      <c r="I686" s="173">
        <v>250000</v>
      </c>
      <c r="J686" s="174">
        <v>1</v>
      </c>
      <c r="K686" s="175">
        <f>MONTH(Tabela1[[#This Row],[Data da Venda]])</f>
        <v>9</v>
      </c>
      <c r="L686" s="175">
        <f>YEAR(Tabela1[[#This Row],[Data da Venda]])</f>
        <v>2013</v>
      </c>
    </row>
    <row r="687" spans="1:12" ht="15" hidden="1" customHeight="1">
      <c r="A687" s="149" t="s">
        <v>425</v>
      </c>
      <c r="B687" s="150" t="s">
        <v>394</v>
      </c>
      <c r="C687" s="171">
        <v>87</v>
      </c>
      <c r="D687" s="171" t="s">
        <v>328</v>
      </c>
      <c r="E687" s="171" t="s">
        <v>340</v>
      </c>
      <c r="F687" s="172">
        <v>41541</v>
      </c>
      <c r="G687" s="172" t="s">
        <v>302</v>
      </c>
      <c r="H687" s="156" t="s">
        <v>25</v>
      </c>
      <c r="I687" s="173">
        <v>528080</v>
      </c>
      <c r="J687" s="174">
        <v>1</v>
      </c>
      <c r="K687" s="175">
        <f>MONTH(Tabela1[[#This Row],[Data da Venda]])</f>
        <v>9</v>
      </c>
      <c r="L687" s="175">
        <f>YEAR(Tabela1[[#This Row],[Data da Venda]])</f>
        <v>2013</v>
      </c>
    </row>
    <row r="688" spans="1:12" ht="15" hidden="1" customHeight="1">
      <c r="A688" s="151" t="s">
        <v>81</v>
      </c>
      <c r="B688" s="150" t="s">
        <v>446</v>
      </c>
      <c r="C688" s="171">
        <v>121</v>
      </c>
      <c r="D688" s="171" t="s">
        <v>328</v>
      </c>
      <c r="E688" s="171" t="s">
        <v>339</v>
      </c>
      <c r="F688" s="172">
        <v>41542</v>
      </c>
      <c r="G688" s="172" t="s">
        <v>307</v>
      </c>
      <c r="H688" s="156" t="s">
        <v>24</v>
      </c>
      <c r="I688" s="173">
        <v>520000</v>
      </c>
      <c r="J688" s="174">
        <v>1</v>
      </c>
      <c r="K688" s="175">
        <f>MONTH(Tabela1[[#This Row],[Data da Venda]])</f>
        <v>9</v>
      </c>
      <c r="L688" s="175">
        <f>YEAR(Tabela1[[#This Row],[Data da Venda]])</f>
        <v>2013</v>
      </c>
    </row>
    <row r="689" spans="1:12" ht="15" hidden="1" customHeight="1">
      <c r="A689" s="149" t="s">
        <v>208</v>
      </c>
      <c r="B689" s="150" t="s">
        <v>388</v>
      </c>
      <c r="C689" s="171">
        <v>193</v>
      </c>
      <c r="D689" s="171" t="s">
        <v>328</v>
      </c>
      <c r="E689" s="171" t="s">
        <v>339</v>
      </c>
      <c r="F689" s="172">
        <v>41545</v>
      </c>
      <c r="G689" s="172" t="s">
        <v>253</v>
      </c>
      <c r="H689" s="173" t="s">
        <v>26</v>
      </c>
      <c r="I689" s="173">
        <v>285000</v>
      </c>
      <c r="J689" s="174">
        <v>1</v>
      </c>
      <c r="K689" s="175">
        <f>MONTH(Tabela1[[#This Row],[Data da Venda]])</f>
        <v>9</v>
      </c>
      <c r="L689" s="175">
        <f>YEAR(Tabela1[[#This Row],[Data da Venda]])</f>
        <v>2013</v>
      </c>
    </row>
    <row r="690" spans="1:12" ht="15" hidden="1" customHeight="1">
      <c r="A690" s="149" t="s">
        <v>208</v>
      </c>
      <c r="B690" s="150" t="s">
        <v>388</v>
      </c>
      <c r="C690" s="171">
        <v>198</v>
      </c>
      <c r="D690" s="171" t="s">
        <v>328</v>
      </c>
      <c r="E690" s="171" t="s">
        <v>339</v>
      </c>
      <c r="F690" s="172">
        <v>41545</v>
      </c>
      <c r="G690" s="172" t="s">
        <v>253</v>
      </c>
      <c r="H690" s="173" t="s">
        <v>26</v>
      </c>
      <c r="I690" s="173">
        <v>285000</v>
      </c>
      <c r="J690" s="174">
        <v>1</v>
      </c>
      <c r="K690" s="175">
        <f>MONTH(Tabela1[[#This Row],[Data da Venda]])</f>
        <v>9</v>
      </c>
      <c r="L690" s="175">
        <f>YEAR(Tabela1[[#This Row],[Data da Venda]])</f>
        <v>2013</v>
      </c>
    </row>
    <row r="691" spans="1:12" ht="15" hidden="1" customHeight="1">
      <c r="A691" s="149" t="s">
        <v>233</v>
      </c>
      <c r="B691" s="150" t="s">
        <v>428</v>
      </c>
      <c r="C691" s="171">
        <v>103</v>
      </c>
      <c r="D691" s="171" t="s">
        <v>328</v>
      </c>
      <c r="E691" s="171" t="s">
        <v>339</v>
      </c>
      <c r="F691" s="172">
        <v>41545</v>
      </c>
      <c r="G691" s="172" t="s">
        <v>381</v>
      </c>
      <c r="H691" s="173" t="s">
        <v>27</v>
      </c>
      <c r="I691" s="173">
        <v>371626</v>
      </c>
      <c r="J691" s="174">
        <v>1</v>
      </c>
      <c r="K691" s="175">
        <f>MONTH(Tabela1[[#This Row],[Data da Venda]])</f>
        <v>9</v>
      </c>
      <c r="L691" s="175">
        <f>YEAR(Tabela1[[#This Row],[Data da Venda]])</f>
        <v>2013</v>
      </c>
    </row>
    <row r="692" spans="1:12" ht="15" hidden="1" customHeight="1">
      <c r="A692" s="149" t="s">
        <v>425</v>
      </c>
      <c r="B692" s="150" t="s">
        <v>394</v>
      </c>
      <c r="C692" s="171">
        <v>63</v>
      </c>
      <c r="D692" s="171" t="s">
        <v>328</v>
      </c>
      <c r="E692" s="171" t="s">
        <v>340</v>
      </c>
      <c r="F692" s="172">
        <v>41546</v>
      </c>
      <c r="G692" s="172" t="s">
        <v>383</v>
      </c>
      <c r="H692" s="156" t="s">
        <v>24</v>
      </c>
      <c r="I692" s="173">
        <v>258930</v>
      </c>
      <c r="J692" s="174">
        <v>0.5</v>
      </c>
      <c r="K692" s="175">
        <f>MONTH(Tabela1[[#This Row],[Data da Venda]])</f>
        <v>9</v>
      </c>
      <c r="L692" s="175">
        <f>YEAR(Tabela1[[#This Row],[Data da Venda]])</f>
        <v>2013</v>
      </c>
    </row>
    <row r="693" spans="1:12" ht="15" hidden="1" customHeight="1">
      <c r="A693" s="149" t="s">
        <v>425</v>
      </c>
      <c r="B693" s="150" t="s">
        <v>394</v>
      </c>
      <c r="C693" s="171">
        <v>63</v>
      </c>
      <c r="D693" s="171" t="s">
        <v>328</v>
      </c>
      <c r="E693" s="171" t="s">
        <v>340</v>
      </c>
      <c r="F693" s="172">
        <v>41546</v>
      </c>
      <c r="G693" s="172" t="s">
        <v>55</v>
      </c>
      <c r="H693" s="156" t="s">
        <v>24</v>
      </c>
      <c r="I693" s="173">
        <v>258930</v>
      </c>
      <c r="J693" s="174">
        <v>0.5</v>
      </c>
      <c r="K693" s="175">
        <f>MONTH(Tabela1[[#This Row],[Data da Venda]])</f>
        <v>9</v>
      </c>
      <c r="L693" s="175">
        <f>YEAR(Tabela1[[#This Row],[Data da Venda]])</f>
        <v>2013</v>
      </c>
    </row>
    <row r="694" spans="1:12" ht="15" hidden="1" customHeight="1">
      <c r="A694" s="149" t="s">
        <v>53</v>
      </c>
      <c r="B694" s="150" t="s">
        <v>436</v>
      </c>
      <c r="C694" s="155" t="s">
        <v>445</v>
      </c>
      <c r="D694" s="171" t="s">
        <v>328</v>
      </c>
      <c r="E694" s="171" t="s">
        <v>339</v>
      </c>
      <c r="F694" s="172">
        <v>41546</v>
      </c>
      <c r="G694" s="172" t="s">
        <v>196</v>
      </c>
      <c r="H694" s="156" t="s">
        <v>24</v>
      </c>
      <c r="I694" s="173">
        <v>36296</v>
      </c>
      <c r="J694" s="174">
        <v>1</v>
      </c>
      <c r="K694" s="175">
        <f>MONTH(Tabela1[[#This Row],[Data da Venda]])</f>
        <v>9</v>
      </c>
      <c r="L694" s="175">
        <f>YEAR(Tabela1[[#This Row],[Data da Venda]])</f>
        <v>2013</v>
      </c>
    </row>
    <row r="695" spans="1:12" ht="15" hidden="1" customHeight="1">
      <c r="A695" s="151" t="s">
        <v>81</v>
      </c>
      <c r="B695" s="150" t="s">
        <v>446</v>
      </c>
      <c r="C695" s="171">
        <v>11</v>
      </c>
      <c r="D695" s="171" t="s">
        <v>328</v>
      </c>
      <c r="E695" s="171" t="s">
        <v>339</v>
      </c>
      <c r="F695" s="172">
        <v>41548</v>
      </c>
      <c r="G695" s="172" t="s">
        <v>43</v>
      </c>
      <c r="H695" s="173" t="s">
        <v>61</v>
      </c>
      <c r="I695" s="173">
        <v>505600</v>
      </c>
      <c r="J695" s="174">
        <v>1</v>
      </c>
      <c r="K695" s="175">
        <f>MONTH(Tabela1[[#This Row],[Data da Venda]])</f>
        <v>10</v>
      </c>
      <c r="L695" s="175">
        <f>YEAR(Tabela1[[#This Row],[Data da Venda]])</f>
        <v>2013</v>
      </c>
    </row>
    <row r="696" spans="1:12" ht="15" hidden="1" customHeight="1">
      <c r="A696" s="149" t="s">
        <v>191</v>
      </c>
      <c r="B696" s="150" t="s">
        <v>385</v>
      </c>
      <c r="C696" s="171">
        <v>175</v>
      </c>
      <c r="D696" s="171" t="s">
        <v>328</v>
      </c>
      <c r="E696" s="171" t="s">
        <v>339</v>
      </c>
      <c r="F696" s="172">
        <v>41548</v>
      </c>
      <c r="G696" s="172" t="s">
        <v>384</v>
      </c>
      <c r="H696" s="156" t="s">
        <v>25</v>
      </c>
      <c r="I696" s="173">
        <v>246600</v>
      </c>
      <c r="J696" s="174">
        <v>1</v>
      </c>
      <c r="K696" s="175">
        <f>MONTH(Tabela1[[#This Row],[Data da Venda]])</f>
        <v>10</v>
      </c>
      <c r="L696" s="175">
        <f>YEAR(Tabela1[[#This Row],[Data da Venda]])</f>
        <v>2013</v>
      </c>
    </row>
    <row r="697" spans="1:12" ht="15" hidden="1" customHeight="1">
      <c r="A697" s="169" t="s">
        <v>122</v>
      </c>
      <c r="B697" s="150" t="s">
        <v>417</v>
      </c>
      <c r="C697" s="171">
        <v>601</v>
      </c>
      <c r="D697" s="171" t="s">
        <v>329</v>
      </c>
      <c r="E697" s="171" t="s">
        <v>339</v>
      </c>
      <c r="F697" s="172">
        <v>41548</v>
      </c>
      <c r="G697" s="156" t="s">
        <v>465</v>
      </c>
      <c r="H697" s="156" t="s">
        <v>33</v>
      </c>
      <c r="I697" s="173">
        <v>587000</v>
      </c>
      <c r="J697" s="174">
        <v>1</v>
      </c>
      <c r="K697" s="175">
        <f>MONTH(Tabela1[[#This Row],[Data da Venda]])</f>
        <v>10</v>
      </c>
      <c r="L697" s="175">
        <f>YEAR(Tabela1[[#This Row],[Data da Venda]])</f>
        <v>2013</v>
      </c>
    </row>
    <row r="698" spans="1:12" ht="15" hidden="1" customHeight="1">
      <c r="A698" s="149" t="s">
        <v>208</v>
      </c>
      <c r="B698" s="150" t="s">
        <v>399</v>
      </c>
      <c r="C698" s="171">
        <v>28</v>
      </c>
      <c r="D698" s="171" t="s">
        <v>328</v>
      </c>
      <c r="E698" s="171" t="s">
        <v>339</v>
      </c>
      <c r="F698" s="172">
        <v>41550</v>
      </c>
      <c r="G698" s="172" t="s">
        <v>333</v>
      </c>
      <c r="H698" s="156" t="s">
        <v>24</v>
      </c>
      <c r="I698" s="173">
        <v>242428.34</v>
      </c>
      <c r="J698" s="174">
        <v>1</v>
      </c>
      <c r="K698" s="175">
        <f>MONTH(Tabela1[[#This Row],[Data da Venda]])</f>
        <v>10</v>
      </c>
      <c r="L698" s="175">
        <f>YEAR(Tabela1[[#This Row],[Data da Venda]])</f>
        <v>2013</v>
      </c>
    </row>
    <row r="699" spans="1:12" ht="15" hidden="1" customHeight="1">
      <c r="A699" s="149" t="s">
        <v>419</v>
      </c>
      <c r="B699" s="150" t="s">
        <v>454</v>
      </c>
      <c r="C699" s="194">
        <v>502</v>
      </c>
      <c r="D699" s="194" t="s">
        <v>327</v>
      </c>
      <c r="E699" s="194" t="s">
        <v>327</v>
      </c>
      <c r="F699" s="234">
        <v>41550</v>
      </c>
      <c r="G699" s="156" t="s">
        <v>360</v>
      </c>
      <c r="H699" s="195" t="s">
        <v>362</v>
      </c>
      <c r="I699" s="195">
        <v>535100.18999999994</v>
      </c>
      <c r="J699" s="196">
        <v>1</v>
      </c>
      <c r="K699" s="197">
        <f>MONTH(Tabela1[[#This Row],[Data da Venda]])</f>
        <v>10</v>
      </c>
      <c r="L699" s="197">
        <f>YEAR(Tabela1[[#This Row],[Data da Venda]])</f>
        <v>2013</v>
      </c>
    </row>
    <row r="700" spans="1:12" ht="15" hidden="1" customHeight="1">
      <c r="A700" s="151" t="s">
        <v>81</v>
      </c>
      <c r="B700" s="150" t="s">
        <v>446</v>
      </c>
      <c r="C700" s="171">
        <v>51</v>
      </c>
      <c r="D700" s="171" t="s">
        <v>329</v>
      </c>
      <c r="E700" s="171" t="s">
        <v>339</v>
      </c>
      <c r="F700" s="172">
        <v>41552</v>
      </c>
      <c r="G700" s="156" t="s">
        <v>465</v>
      </c>
      <c r="H700" s="156" t="s">
        <v>33</v>
      </c>
      <c r="I700" s="173">
        <v>485000</v>
      </c>
      <c r="J700" s="174">
        <v>1</v>
      </c>
      <c r="K700" s="175">
        <f>MONTH(Tabela1[[#This Row],[Data da Venda]])</f>
        <v>10</v>
      </c>
      <c r="L700" s="175">
        <f>YEAR(Tabela1[[#This Row],[Data da Venda]])</f>
        <v>2013</v>
      </c>
    </row>
    <row r="701" spans="1:12" ht="15" hidden="1" customHeight="1">
      <c r="A701" s="149" t="s">
        <v>433</v>
      </c>
      <c r="B701" s="150" t="s">
        <v>434</v>
      </c>
      <c r="C701" s="171">
        <v>152</v>
      </c>
      <c r="D701" s="171" t="s">
        <v>328</v>
      </c>
      <c r="E701" s="171" t="s">
        <v>339</v>
      </c>
      <c r="F701" s="172">
        <v>41554</v>
      </c>
      <c r="G701" s="172" t="s">
        <v>309</v>
      </c>
      <c r="H701" s="173" t="s">
        <v>26</v>
      </c>
      <c r="I701" s="173">
        <v>2210000</v>
      </c>
      <c r="J701" s="174">
        <v>1</v>
      </c>
      <c r="K701" s="175">
        <f>MONTH(Tabela1[[#This Row],[Data da Venda]])</f>
        <v>10</v>
      </c>
      <c r="L701" s="175">
        <f>YEAR(Tabela1[[#This Row],[Data da Venda]])</f>
        <v>2013</v>
      </c>
    </row>
    <row r="702" spans="1:12" ht="15" hidden="1" customHeight="1">
      <c r="A702" s="149" t="s">
        <v>425</v>
      </c>
      <c r="B702" s="150" t="s">
        <v>409</v>
      </c>
      <c r="C702" s="171">
        <v>43</v>
      </c>
      <c r="D702" s="171" t="s">
        <v>328</v>
      </c>
      <c r="E702" s="171" t="s">
        <v>340</v>
      </c>
      <c r="F702" s="172">
        <v>41555</v>
      </c>
      <c r="G702" s="172" t="s">
        <v>274</v>
      </c>
      <c r="H702" s="173" t="s">
        <v>27</v>
      </c>
      <c r="I702" s="173">
        <v>245088.17</v>
      </c>
      <c r="J702" s="174">
        <v>0.5</v>
      </c>
      <c r="K702" s="175">
        <f>MONTH(Tabela1[[#This Row],[Data da Venda]])</f>
        <v>10</v>
      </c>
      <c r="L702" s="175">
        <f>YEAR(Tabela1[[#This Row],[Data da Venda]])</f>
        <v>2013</v>
      </c>
    </row>
    <row r="703" spans="1:12" ht="15" hidden="1" customHeight="1">
      <c r="A703" s="149" t="s">
        <v>425</v>
      </c>
      <c r="B703" s="150" t="s">
        <v>409</v>
      </c>
      <c r="C703" s="171">
        <v>43</v>
      </c>
      <c r="D703" s="171" t="s">
        <v>328</v>
      </c>
      <c r="E703" s="171" t="s">
        <v>340</v>
      </c>
      <c r="F703" s="172">
        <v>41555</v>
      </c>
      <c r="G703" s="172" t="s">
        <v>235</v>
      </c>
      <c r="H703" s="173" t="s">
        <v>27</v>
      </c>
      <c r="I703" s="173">
        <v>245088.18</v>
      </c>
      <c r="J703" s="174">
        <v>0.5</v>
      </c>
      <c r="K703" s="175">
        <f>MONTH(Tabela1[[#This Row],[Data da Venda]])</f>
        <v>10</v>
      </c>
      <c r="L703" s="175">
        <f>YEAR(Tabela1[[#This Row],[Data da Venda]])</f>
        <v>2013</v>
      </c>
    </row>
    <row r="704" spans="1:12" ht="15" hidden="1" customHeight="1">
      <c r="A704" s="149" t="s">
        <v>233</v>
      </c>
      <c r="B704" s="150" t="s">
        <v>428</v>
      </c>
      <c r="C704" s="171">
        <v>24</v>
      </c>
      <c r="D704" s="155" t="s">
        <v>328</v>
      </c>
      <c r="E704" s="155" t="s">
        <v>339</v>
      </c>
      <c r="F704" s="172">
        <v>41557</v>
      </c>
      <c r="G704" s="156" t="s">
        <v>381</v>
      </c>
      <c r="H704" s="157" t="s">
        <v>27</v>
      </c>
      <c r="I704" s="173">
        <v>376480</v>
      </c>
      <c r="J704" s="174">
        <v>1</v>
      </c>
      <c r="K704" s="175">
        <f>MONTH(Tabela1[[#This Row],[Data da Venda]])</f>
        <v>10</v>
      </c>
      <c r="L704" s="175">
        <f>YEAR(Tabela1[[#This Row],[Data da Venda]])</f>
        <v>2013</v>
      </c>
    </row>
    <row r="705" spans="1:12" ht="15" hidden="1" customHeight="1">
      <c r="A705" s="151" t="s">
        <v>186</v>
      </c>
      <c r="B705" s="150" t="s">
        <v>418</v>
      </c>
      <c r="C705" s="171">
        <v>105</v>
      </c>
      <c r="D705" s="171" t="s">
        <v>329</v>
      </c>
      <c r="E705" s="171" t="s">
        <v>339</v>
      </c>
      <c r="F705" s="172">
        <v>41557</v>
      </c>
      <c r="G705" s="156" t="s">
        <v>464</v>
      </c>
      <c r="H705" s="157" t="s">
        <v>33</v>
      </c>
      <c r="I705" s="173">
        <v>199486.61</v>
      </c>
      <c r="J705" s="174">
        <v>0.5</v>
      </c>
      <c r="K705" s="175">
        <f>MONTH(Tabela1[[#This Row],[Data da Venda]])</f>
        <v>10</v>
      </c>
      <c r="L705" s="175">
        <f>YEAR(Tabela1[[#This Row],[Data da Venda]])</f>
        <v>2013</v>
      </c>
    </row>
    <row r="706" spans="1:12" ht="15" hidden="1" customHeight="1">
      <c r="A706" s="151" t="s">
        <v>186</v>
      </c>
      <c r="B706" s="150" t="s">
        <v>418</v>
      </c>
      <c r="C706" s="171">
        <v>105</v>
      </c>
      <c r="D706" s="171" t="s">
        <v>329</v>
      </c>
      <c r="E706" s="171" t="s">
        <v>339</v>
      </c>
      <c r="F706" s="172">
        <v>41557</v>
      </c>
      <c r="G706" s="156" t="s">
        <v>465</v>
      </c>
      <c r="H706" s="157" t="s">
        <v>33</v>
      </c>
      <c r="I706" s="173">
        <v>199486.6</v>
      </c>
      <c r="J706" s="174">
        <v>0.5</v>
      </c>
      <c r="K706" s="175">
        <f>MONTH(Tabela1[[#This Row],[Data da Venda]])</f>
        <v>10</v>
      </c>
      <c r="L706" s="175">
        <f>YEAR(Tabela1[[#This Row],[Data da Venda]])</f>
        <v>2013</v>
      </c>
    </row>
    <row r="707" spans="1:12" ht="15" hidden="1" customHeight="1">
      <c r="A707" s="151" t="s">
        <v>186</v>
      </c>
      <c r="B707" s="150" t="s">
        <v>418</v>
      </c>
      <c r="C707" s="171">
        <v>106</v>
      </c>
      <c r="D707" s="171" t="s">
        <v>329</v>
      </c>
      <c r="E707" s="171" t="s">
        <v>339</v>
      </c>
      <c r="F707" s="172">
        <v>41557</v>
      </c>
      <c r="G707" s="156" t="s">
        <v>464</v>
      </c>
      <c r="H707" s="157" t="s">
        <v>33</v>
      </c>
      <c r="I707" s="173">
        <v>199486.61</v>
      </c>
      <c r="J707" s="174">
        <v>0.5</v>
      </c>
      <c r="K707" s="175">
        <f>MONTH(Tabela1[[#This Row],[Data da Venda]])</f>
        <v>10</v>
      </c>
      <c r="L707" s="175">
        <f>YEAR(Tabela1[[#This Row],[Data da Venda]])</f>
        <v>2013</v>
      </c>
    </row>
    <row r="708" spans="1:12" ht="15" hidden="1" customHeight="1">
      <c r="A708" s="151" t="s">
        <v>186</v>
      </c>
      <c r="B708" s="150" t="s">
        <v>418</v>
      </c>
      <c r="C708" s="171">
        <v>106</v>
      </c>
      <c r="D708" s="171" t="s">
        <v>329</v>
      </c>
      <c r="E708" s="171" t="s">
        <v>339</v>
      </c>
      <c r="F708" s="172">
        <v>41557</v>
      </c>
      <c r="G708" s="156" t="s">
        <v>465</v>
      </c>
      <c r="H708" s="157" t="s">
        <v>33</v>
      </c>
      <c r="I708" s="173">
        <v>199486.6</v>
      </c>
      <c r="J708" s="174">
        <v>0.5</v>
      </c>
      <c r="K708" s="175">
        <f>MONTH(Tabela1[[#This Row],[Data da Venda]])</f>
        <v>10</v>
      </c>
      <c r="L708" s="175">
        <f>YEAR(Tabela1[[#This Row],[Data da Venda]])</f>
        <v>2013</v>
      </c>
    </row>
    <row r="709" spans="1:12" ht="15" hidden="1" customHeight="1">
      <c r="A709" s="151" t="s">
        <v>186</v>
      </c>
      <c r="B709" s="150" t="s">
        <v>418</v>
      </c>
      <c r="C709" s="171">
        <v>107</v>
      </c>
      <c r="D709" s="171" t="s">
        <v>329</v>
      </c>
      <c r="E709" s="171" t="s">
        <v>339</v>
      </c>
      <c r="F709" s="172">
        <v>41557</v>
      </c>
      <c r="G709" s="156" t="s">
        <v>464</v>
      </c>
      <c r="H709" s="157" t="s">
        <v>33</v>
      </c>
      <c r="I709" s="173">
        <v>211622.19</v>
      </c>
      <c r="J709" s="174">
        <v>0.5</v>
      </c>
      <c r="K709" s="175">
        <f>MONTH(Tabela1[[#This Row],[Data da Venda]])</f>
        <v>10</v>
      </c>
      <c r="L709" s="175">
        <f>YEAR(Tabela1[[#This Row],[Data da Venda]])</f>
        <v>2013</v>
      </c>
    </row>
    <row r="710" spans="1:12" ht="15" hidden="1" customHeight="1">
      <c r="A710" s="151" t="s">
        <v>186</v>
      </c>
      <c r="B710" s="150" t="s">
        <v>418</v>
      </c>
      <c r="C710" s="171">
        <v>107</v>
      </c>
      <c r="D710" s="171" t="s">
        <v>329</v>
      </c>
      <c r="E710" s="171" t="s">
        <v>339</v>
      </c>
      <c r="F710" s="172">
        <v>41557</v>
      </c>
      <c r="G710" s="156" t="s">
        <v>465</v>
      </c>
      <c r="H710" s="157" t="s">
        <v>33</v>
      </c>
      <c r="I710" s="173">
        <v>211622.18</v>
      </c>
      <c r="J710" s="174">
        <v>0.5</v>
      </c>
      <c r="K710" s="175">
        <f>MONTH(Tabela1[[#This Row],[Data da Venda]])</f>
        <v>10</v>
      </c>
      <c r="L710" s="175">
        <f>YEAR(Tabela1[[#This Row],[Data da Venda]])</f>
        <v>2013</v>
      </c>
    </row>
    <row r="711" spans="1:12" ht="15" hidden="1" customHeight="1">
      <c r="A711" s="149" t="s">
        <v>191</v>
      </c>
      <c r="B711" s="150" t="s">
        <v>435</v>
      </c>
      <c r="C711" s="171">
        <v>155</v>
      </c>
      <c r="D711" s="171" t="s">
        <v>328</v>
      </c>
      <c r="E711" s="171" t="s">
        <v>339</v>
      </c>
      <c r="F711" s="172">
        <v>41557</v>
      </c>
      <c r="G711" s="172" t="s">
        <v>148</v>
      </c>
      <c r="H711" s="173" t="s">
        <v>26</v>
      </c>
      <c r="I711" s="173">
        <v>264600</v>
      </c>
      <c r="J711" s="174">
        <v>1</v>
      </c>
      <c r="K711" s="175">
        <f>MONTH(Tabela1[[#This Row],[Data da Venda]])</f>
        <v>10</v>
      </c>
      <c r="L711" s="175">
        <f>YEAR(Tabela1[[#This Row],[Data da Venda]])</f>
        <v>2013</v>
      </c>
    </row>
    <row r="712" spans="1:12" ht="15" hidden="1" customHeight="1">
      <c r="A712" s="149" t="s">
        <v>208</v>
      </c>
      <c r="B712" s="150" t="s">
        <v>388</v>
      </c>
      <c r="C712" s="171">
        <v>186</v>
      </c>
      <c r="D712" s="171" t="s">
        <v>328</v>
      </c>
      <c r="E712" s="171" t="s">
        <v>339</v>
      </c>
      <c r="F712" s="172">
        <v>41557</v>
      </c>
      <c r="G712" s="172" t="s">
        <v>37</v>
      </c>
      <c r="H712" s="173" t="s">
        <v>61</v>
      </c>
      <c r="I712" s="173">
        <v>346966.18</v>
      </c>
      <c r="J712" s="174">
        <v>1</v>
      </c>
      <c r="K712" s="175">
        <f>MONTH(Tabela1[[#This Row],[Data da Venda]])</f>
        <v>10</v>
      </c>
      <c r="L712" s="175">
        <f>YEAR(Tabela1[[#This Row],[Data da Venda]])</f>
        <v>2013</v>
      </c>
    </row>
    <row r="713" spans="1:12" ht="15" hidden="1" customHeight="1">
      <c r="A713" s="151" t="s">
        <v>186</v>
      </c>
      <c r="B713" s="150" t="s">
        <v>418</v>
      </c>
      <c r="C713" s="171">
        <v>203</v>
      </c>
      <c r="D713" s="171" t="s">
        <v>329</v>
      </c>
      <c r="E713" s="171" t="s">
        <v>339</v>
      </c>
      <c r="F713" s="172">
        <v>41557</v>
      </c>
      <c r="G713" s="156" t="s">
        <v>464</v>
      </c>
      <c r="H713" s="157" t="s">
        <v>33</v>
      </c>
      <c r="I713" s="173">
        <v>205788.51</v>
      </c>
      <c r="J713" s="174">
        <v>0.5</v>
      </c>
      <c r="K713" s="175">
        <f>MONTH(Tabela1[[#This Row],[Data da Venda]])</f>
        <v>10</v>
      </c>
      <c r="L713" s="175">
        <f>YEAR(Tabela1[[#This Row],[Data da Venda]])</f>
        <v>2013</v>
      </c>
    </row>
    <row r="714" spans="1:12" ht="15" hidden="1" customHeight="1">
      <c r="A714" s="151" t="s">
        <v>186</v>
      </c>
      <c r="B714" s="150" t="s">
        <v>418</v>
      </c>
      <c r="C714" s="171">
        <v>203</v>
      </c>
      <c r="D714" s="171" t="s">
        <v>329</v>
      </c>
      <c r="E714" s="171" t="s">
        <v>339</v>
      </c>
      <c r="F714" s="172">
        <v>41557</v>
      </c>
      <c r="G714" s="156" t="s">
        <v>465</v>
      </c>
      <c r="H714" s="157" t="s">
        <v>33</v>
      </c>
      <c r="I714" s="173">
        <v>205788.5</v>
      </c>
      <c r="J714" s="174">
        <v>0.5</v>
      </c>
      <c r="K714" s="175">
        <f>MONTH(Tabela1[[#This Row],[Data da Venda]])</f>
        <v>10</v>
      </c>
      <c r="L714" s="175">
        <f>YEAR(Tabela1[[#This Row],[Data da Venda]])</f>
        <v>2013</v>
      </c>
    </row>
    <row r="715" spans="1:12" ht="15" hidden="1" customHeight="1">
      <c r="A715" s="151" t="s">
        <v>186</v>
      </c>
      <c r="B715" s="150" t="s">
        <v>418</v>
      </c>
      <c r="C715" s="171">
        <v>204</v>
      </c>
      <c r="D715" s="171" t="s">
        <v>329</v>
      </c>
      <c r="E715" s="171" t="s">
        <v>339</v>
      </c>
      <c r="F715" s="172">
        <v>41557</v>
      </c>
      <c r="G715" s="156" t="s">
        <v>464</v>
      </c>
      <c r="H715" s="157" t="s">
        <v>33</v>
      </c>
      <c r="I715" s="173">
        <v>214894.46</v>
      </c>
      <c r="J715" s="174">
        <v>0.5</v>
      </c>
      <c r="K715" s="175">
        <f>MONTH(Tabela1[[#This Row],[Data da Venda]])</f>
        <v>10</v>
      </c>
      <c r="L715" s="175">
        <f>YEAR(Tabela1[[#This Row],[Data da Venda]])</f>
        <v>2013</v>
      </c>
    </row>
    <row r="716" spans="1:12" ht="15" hidden="1" customHeight="1">
      <c r="A716" s="151" t="s">
        <v>186</v>
      </c>
      <c r="B716" s="150" t="s">
        <v>418</v>
      </c>
      <c r="C716" s="171">
        <v>204</v>
      </c>
      <c r="D716" s="171" t="s">
        <v>329</v>
      </c>
      <c r="E716" s="171" t="s">
        <v>339</v>
      </c>
      <c r="F716" s="172">
        <v>41557</v>
      </c>
      <c r="G716" s="156" t="s">
        <v>465</v>
      </c>
      <c r="H716" s="157" t="s">
        <v>33</v>
      </c>
      <c r="I716" s="173">
        <v>214894.46</v>
      </c>
      <c r="J716" s="174">
        <v>0.5</v>
      </c>
      <c r="K716" s="175">
        <f>MONTH(Tabela1[[#This Row],[Data da Venda]])</f>
        <v>10</v>
      </c>
      <c r="L716" s="175">
        <f>YEAR(Tabela1[[#This Row],[Data da Venda]])</f>
        <v>2013</v>
      </c>
    </row>
    <row r="717" spans="1:12" ht="15" hidden="1" customHeight="1">
      <c r="A717" s="151" t="s">
        <v>186</v>
      </c>
      <c r="B717" s="150" t="s">
        <v>418</v>
      </c>
      <c r="C717" s="171">
        <v>205</v>
      </c>
      <c r="D717" s="171" t="s">
        <v>329</v>
      </c>
      <c r="E717" s="171" t="s">
        <v>339</v>
      </c>
      <c r="F717" s="172">
        <v>41557</v>
      </c>
      <c r="G717" s="156" t="s">
        <v>464</v>
      </c>
      <c r="H717" s="157" t="s">
        <v>33</v>
      </c>
      <c r="I717" s="173">
        <v>202571.4</v>
      </c>
      <c r="J717" s="174">
        <v>0.5</v>
      </c>
      <c r="K717" s="175">
        <f>MONTH(Tabela1[[#This Row],[Data da Venda]])</f>
        <v>10</v>
      </c>
      <c r="L717" s="175">
        <f>YEAR(Tabela1[[#This Row],[Data da Venda]])</f>
        <v>2013</v>
      </c>
    </row>
    <row r="718" spans="1:12" ht="15" hidden="1" customHeight="1">
      <c r="A718" s="151" t="s">
        <v>186</v>
      </c>
      <c r="B718" s="150" t="s">
        <v>418</v>
      </c>
      <c r="C718" s="171">
        <v>205</v>
      </c>
      <c r="D718" s="171" t="s">
        <v>329</v>
      </c>
      <c r="E718" s="171" t="s">
        <v>339</v>
      </c>
      <c r="F718" s="172">
        <v>41557</v>
      </c>
      <c r="G718" s="156" t="s">
        <v>465</v>
      </c>
      <c r="H718" s="157" t="s">
        <v>33</v>
      </c>
      <c r="I718" s="173">
        <v>202571.4</v>
      </c>
      <c r="J718" s="174">
        <v>0.5</v>
      </c>
      <c r="K718" s="175">
        <f>MONTH(Tabela1[[#This Row],[Data da Venda]])</f>
        <v>10</v>
      </c>
      <c r="L718" s="175">
        <f>YEAR(Tabela1[[#This Row],[Data da Venda]])</f>
        <v>2013</v>
      </c>
    </row>
    <row r="719" spans="1:12" ht="15" hidden="1" customHeight="1">
      <c r="A719" s="151" t="s">
        <v>186</v>
      </c>
      <c r="B719" s="150" t="s">
        <v>418</v>
      </c>
      <c r="C719" s="171">
        <v>206</v>
      </c>
      <c r="D719" s="171" t="s">
        <v>329</v>
      </c>
      <c r="E719" s="171" t="s">
        <v>339</v>
      </c>
      <c r="F719" s="172">
        <v>41557</v>
      </c>
      <c r="G719" s="156" t="s">
        <v>464</v>
      </c>
      <c r="H719" s="157" t="s">
        <v>33</v>
      </c>
      <c r="I719" s="173">
        <v>202571.4</v>
      </c>
      <c r="J719" s="174">
        <v>0.5</v>
      </c>
      <c r="K719" s="175">
        <f>MONTH(Tabela1[[#This Row],[Data da Venda]])</f>
        <v>10</v>
      </c>
      <c r="L719" s="175">
        <f>YEAR(Tabela1[[#This Row],[Data da Venda]])</f>
        <v>2013</v>
      </c>
    </row>
    <row r="720" spans="1:12" ht="15" hidden="1" customHeight="1">
      <c r="A720" s="151" t="s">
        <v>186</v>
      </c>
      <c r="B720" s="150" t="s">
        <v>418</v>
      </c>
      <c r="C720" s="171">
        <v>206</v>
      </c>
      <c r="D720" s="171" t="s">
        <v>329</v>
      </c>
      <c r="E720" s="171" t="s">
        <v>339</v>
      </c>
      <c r="F720" s="172">
        <v>41557</v>
      </c>
      <c r="G720" s="156" t="s">
        <v>465</v>
      </c>
      <c r="H720" s="157" t="s">
        <v>33</v>
      </c>
      <c r="I720" s="173">
        <v>202571.4</v>
      </c>
      <c r="J720" s="174">
        <v>0.5</v>
      </c>
      <c r="K720" s="175">
        <f>MONTH(Tabela1[[#This Row],[Data da Venda]])</f>
        <v>10</v>
      </c>
      <c r="L720" s="175">
        <f>YEAR(Tabela1[[#This Row],[Data da Venda]])</f>
        <v>2013</v>
      </c>
    </row>
    <row r="721" spans="1:12" ht="15" hidden="1" customHeight="1">
      <c r="A721" s="151" t="s">
        <v>186</v>
      </c>
      <c r="B721" s="150" t="s">
        <v>418</v>
      </c>
      <c r="C721" s="171">
        <v>207</v>
      </c>
      <c r="D721" s="171" t="s">
        <v>329</v>
      </c>
      <c r="E721" s="171" t="s">
        <v>339</v>
      </c>
      <c r="F721" s="172">
        <v>41557</v>
      </c>
      <c r="G721" s="156" t="s">
        <v>464</v>
      </c>
      <c r="H721" s="157" t="s">
        <v>33</v>
      </c>
      <c r="I721" s="173">
        <v>214894.46</v>
      </c>
      <c r="J721" s="174">
        <v>0.5</v>
      </c>
      <c r="K721" s="175">
        <f>MONTH(Tabela1[[#This Row],[Data da Venda]])</f>
        <v>10</v>
      </c>
      <c r="L721" s="175">
        <f>YEAR(Tabela1[[#This Row],[Data da Venda]])</f>
        <v>2013</v>
      </c>
    </row>
    <row r="722" spans="1:12" ht="15" hidden="1" customHeight="1">
      <c r="A722" s="151" t="s">
        <v>186</v>
      </c>
      <c r="B722" s="150" t="s">
        <v>418</v>
      </c>
      <c r="C722" s="171">
        <v>207</v>
      </c>
      <c r="D722" s="171" t="s">
        <v>329</v>
      </c>
      <c r="E722" s="171" t="s">
        <v>339</v>
      </c>
      <c r="F722" s="172">
        <v>41557</v>
      </c>
      <c r="G722" s="156" t="s">
        <v>465</v>
      </c>
      <c r="H722" s="157" t="s">
        <v>33</v>
      </c>
      <c r="I722" s="173">
        <v>214894.46</v>
      </c>
      <c r="J722" s="174">
        <v>0.5</v>
      </c>
      <c r="K722" s="175">
        <f>MONTH(Tabela1[[#This Row],[Data da Venda]])</f>
        <v>10</v>
      </c>
      <c r="L722" s="175">
        <f>YEAR(Tabela1[[#This Row],[Data da Venda]])</f>
        <v>2013</v>
      </c>
    </row>
    <row r="723" spans="1:12" ht="15" hidden="1" customHeight="1">
      <c r="A723" s="151" t="s">
        <v>186</v>
      </c>
      <c r="B723" s="150" t="s">
        <v>418</v>
      </c>
      <c r="C723" s="171">
        <v>208</v>
      </c>
      <c r="D723" s="171" t="s">
        <v>329</v>
      </c>
      <c r="E723" s="171" t="s">
        <v>339</v>
      </c>
      <c r="F723" s="172">
        <v>41557</v>
      </c>
      <c r="G723" s="156" t="s">
        <v>464</v>
      </c>
      <c r="H723" s="157" t="s">
        <v>33</v>
      </c>
      <c r="I723" s="173">
        <v>205788.51</v>
      </c>
      <c r="J723" s="174">
        <v>0.5</v>
      </c>
      <c r="K723" s="175">
        <f>MONTH(Tabela1[[#This Row],[Data da Venda]])</f>
        <v>10</v>
      </c>
      <c r="L723" s="175">
        <f>YEAR(Tabela1[[#This Row],[Data da Venda]])</f>
        <v>2013</v>
      </c>
    </row>
    <row r="724" spans="1:12" ht="15" hidden="1" customHeight="1">
      <c r="A724" s="151" t="s">
        <v>186</v>
      </c>
      <c r="B724" s="150" t="s">
        <v>418</v>
      </c>
      <c r="C724" s="171">
        <v>208</v>
      </c>
      <c r="D724" s="171" t="s">
        <v>329</v>
      </c>
      <c r="E724" s="171" t="s">
        <v>339</v>
      </c>
      <c r="F724" s="172">
        <v>41557</v>
      </c>
      <c r="G724" s="156" t="s">
        <v>465</v>
      </c>
      <c r="H724" s="157" t="s">
        <v>33</v>
      </c>
      <c r="I724" s="173">
        <v>205788.5</v>
      </c>
      <c r="J724" s="174">
        <v>0.5</v>
      </c>
      <c r="K724" s="175">
        <f>MONTH(Tabela1[[#This Row],[Data da Venda]])</f>
        <v>10</v>
      </c>
      <c r="L724" s="175">
        <f>YEAR(Tabela1[[#This Row],[Data da Venda]])</f>
        <v>2013</v>
      </c>
    </row>
    <row r="725" spans="1:12" ht="15" hidden="1" customHeight="1">
      <c r="A725" s="151" t="s">
        <v>186</v>
      </c>
      <c r="B725" s="150" t="s">
        <v>418</v>
      </c>
      <c r="C725" s="171">
        <v>603</v>
      </c>
      <c r="D725" s="171" t="s">
        <v>329</v>
      </c>
      <c r="E725" s="171" t="s">
        <v>339</v>
      </c>
      <c r="F725" s="172">
        <v>41557</v>
      </c>
      <c r="G725" s="156" t="s">
        <v>464</v>
      </c>
      <c r="H725" s="157" t="s">
        <v>33</v>
      </c>
      <c r="I725" s="173">
        <v>208922.32</v>
      </c>
      <c r="J725" s="174">
        <v>0.5</v>
      </c>
      <c r="K725" s="175">
        <f>MONTH(Tabela1[[#This Row],[Data da Venda]])</f>
        <v>10</v>
      </c>
      <c r="L725" s="175">
        <f>YEAR(Tabela1[[#This Row],[Data da Venda]])</f>
        <v>2013</v>
      </c>
    </row>
    <row r="726" spans="1:12" ht="15" hidden="1" customHeight="1">
      <c r="A726" s="151" t="s">
        <v>186</v>
      </c>
      <c r="B726" s="150" t="s">
        <v>418</v>
      </c>
      <c r="C726" s="171">
        <v>603</v>
      </c>
      <c r="D726" s="171" t="s">
        <v>329</v>
      </c>
      <c r="E726" s="171" t="s">
        <v>339</v>
      </c>
      <c r="F726" s="172">
        <v>41557</v>
      </c>
      <c r="G726" s="156" t="s">
        <v>465</v>
      </c>
      <c r="H726" s="157" t="s">
        <v>33</v>
      </c>
      <c r="I726" s="173">
        <v>208922.32</v>
      </c>
      <c r="J726" s="174">
        <v>0.5</v>
      </c>
      <c r="K726" s="175">
        <f>MONTH(Tabela1[[#This Row],[Data da Venda]])</f>
        <v>10</v>
      </c>
      <c r="L726" s="175">
        <f>YEAR(Tabela1[[#This Row],[Data da Venda]])</f>
        <v>2013</v>
      </c>
    </row>
    <row r="727" spans="1:12" ht="15" hidden="1" customHeight="1">
      <c r="A727" s="151" t="s">
        <v>186</v>
      </c>
      <c r="B727" s="150" t="s">
        <v>418</v>
      </c>
      <c r="C727" s="171">
        <v>604</v>
      </c>
      <c r="D727" s="171" t="s">
        <v>329</v>
      </c>
      <c r="E727" s="171" t="s">
        <v>339</v>
      </c>
      <c r="F727" s="172">
        <v>41557</v>
      </c>
      <c r="G727" s="156" t="s">
        <v>464</v>
      </c>
      <c r="H727" s="173" t="s">
        <v>33</v>
      </c>
      <c r="I727" s="173">
        <v>218167.03</v>
      </c>
      <c r="J727" s="174">
        <v>0.5</v>
      </c>
      <c r="K727" s="175">
        <f>MONTH(Tabela1[[#This Row],[Data da Venda]])</f>
        <v>10</v>
      </c>
      <c r="L727" s="175">
        <f>YEAR(Tabela1[[#This Row],[Data da Venda]])</f>
        <v>2013</v>
      </c>
    </row>
    <row r="728" spans="1:12" ht="15" hidden="1" customHeight="1">
      <c r="A728" s="151" t="s">
        <v>186</v>
      </c>
      <c r="B728" s="150" t="s">
        <v>418</v>
      </c>
      <c r="C728" s="171">
        <v>604</v>
      </c>
      <c r="D728" s="171" t="s">
        <v>329</v>
      </c>
      <c r="E728" s="171" t="s">
        <v>339</v>
      </c>
      <c r="F728" s="172">
        <v>41557</v>
      </c>
      <c r="G728" s="156" t="s">
        <v>465</v>
      </c>
      <c r="H728" s="173" t="s">
        <v>33</v>
      </c>
      <c r="I728" s="173">
        <v>218167.02</v>
      </c>
      <c r="J728" s="174">
        <v>0.5</v>
      </c>
      <c r="K728" s="175">
        <f>MONTH(Tabela1[[#This Row],[Data da Venda]])</f>
        <v>10</v>
      </c>
      <c r="L728" s="175">
        <f>YEAR(Tabela1[[#This Row],[Data da Venda]])</f>
        <v>2013</v>
      </c>
    </row>
    <row r="729" spans="1:12" ht="15" hidden="1" customHeight="1">
      <c r="A729" s="151" t="s">
        <v>186</v>
      </c>
      <c r="B729" s="150" t="s">
        <v>418</v>
      </c>
      <c r="C729" s="171">
        <v>605</v>
      </c>
      <c r="D729" s="171" t="s">
        <v>329</v>
      </c>
      <c r="E729" s="171" t="s">
        <v>339</v>
      </c>
      <c r="F729" s="172">
        <v>41557</v>
      </c>
      <c r="G729" s="156" t="s">
        <v>464</v>
      </c>
      <c r="H729" s="173" t="s">
        <v>33</v>
      </c>
      <c r="I729" s="173">
        <v>205656.23</v>
      </c>
      <c r="J729" s="174">
        <v>0.5</v>
      </c>
      <c r="K729" s="175">
        <f>MONTH(Tabela1[[#This Row],[Data da Venda]])</f>
        <v>10</v>
      </c>
      <c r="L729" s="175">
        <f>YEAR(Tabela1[[#This Row],[Data da Venda]])</f>
        <v>2013</v>
      </c>
    </row>
    <row r="730" spans="1:12" ht="15" hidden="1" customHeight="1">
      <c r="A730" s="151" t="s">
        <v>186</v>
      </c>
      <c r="B730" s="150" t="s">
        <v>418</v>
      </c>
      <c r="C730" s="171">
        <v>605</v>
      </c>
      <c r="D730" s="171" t="s">
        <v>329</v>
      </c>
      <c r="E730" s="171" t="s">
        <v>339</v>
      </c>
      <c r="F730" s="172">
        <v>41557</v>
      </c>
      <c r="G730" s="156" t="s">
        <v>465</v>
      </c>
      <c r="H730" s="173" t="s">
        <v>33</v>
      </c>
      <c r="I730" s="173">
        <v>205656.22</v>
      </c>
      <c r="J730" s="174">
        <v>0.5</v>
      </c>
      <c r="K730" s="175">
        <f>MONTH(Tabela1[[#This Row],[Data da Venda]])</f>
        <v>10</v>
      </c>
      <c r="L730" s="175">
        <f>YEAR(Tabela1[[#This Row],[Data da Venda]])</f>
        <v>2013</v>
      </c>
    </row>
    <row r="731" spans="1:12" ht="15" hidden="1" customHeight="1">
      <c r="A731" s="151" t="s">
        <v>186</v>
      </c>
      <c r="B731" s="150" t="s">
        <v>418</v>
      </c>
      <c r="C731" s="171">
        <v>802</v>
      </c>
      <c r="D731" s="171" t="s">
        <v>329</v>
      </c>
      <c r="E731" s="171" t="s">
        <v>339</v>
      </c>
      <c r="F731" s="172">
        <v>41557</v>
      </c>
      <c r="G731" s="156" t="s">
        <v>464</v>
      </c>
      <c r="H731" s="173" t="s">
        <v>33</v>
      </c>
      <c r="I731" s="173">
        <v>212056.13</v>
      </c>
      <c r="J731" s="174">
        <v>0.5</v>
      </c>
      <c r="K731" s="175">
        <f>MONTH(Tabela1[[#This Row],[Data da Venda]])</f>
        <v>10</v>
      </c>
      <c r="L731" s="175">
        <f>YEAR(Tabela1[[#This Row],[Data da Venda]])</f>
        <v>2013</v>
      </c>
    </row>
    <row r="732" spans="1:12" ht="15" hidden="1" customHeight="1">
      <c r="A732" s="151" t="s">
        <v>186</v>
      </c>
      <c r="B732" s="150" t="s">
        <v>418</v>
      </c>
      <c r="C732" s="171">
        <v>802</v>
      </c>
      <c r="D732" s="171" t="s">
        <v>329</v>
      </c>
      <c r="E732" s="171" t="s">
        <v>339</v>
      </c>
      <c r="F732" s="172">
        <v>41557</v>
      </c>
      <c r="G732" s="156" t="s">
        <v>465</v>
      </c>
      <c r="H732" s="173" t="s">
        <v>33</v>
      </c>
      <c r="I732" s="173">
        <v>212056.13</v>
      </c>
      <c r="J732" s="174">
        <v>0.5</v>
      </c>
      <c r="K732" s="175">
        <f>MONTH(Tabela1[[#This Row],[Data da Venda]])</f>
        <v>10</v>
      </c>
      <c r="L732" s="175">
        <f>YEAR(Tabela1[[#This Row],[Data da Venda]])</f>
        <v>2013</v>
      </c>
    </row>
    <row r="733" spans="1:12" ht="15" hidden="1" customHeight="1">
      <c r="A733" s="151" t="s">
        <v>186</v>
      </c>
      <c r="B733" s="150" t="s">
        <v>418</v>
      </c>
      <c r="C733" s="171">
        <v>810</v>
      </c>
      <c r="D733" s="171" t="s">
        <v>329</v>
      </c>
      <c r="E733" s="171" t="s">
        <v>339</v>
      </c>
      <c r="F733" s="172">
        <v>41557</v>
      </c>
      <c r="G733" s="156" t="s">
        <v>464</v>
      </c>
      <c r="H733" s="173" t="s">
        <v>33</v>
      </c>
      <c r="I733" s="173">
        <v>221439.49</v>
      </c>
      <c r="J733" s="174">
        <v>0.5</v>
      </c>
      <c r="K733" s="175">
        <f>MONTH(Tabela1[[#This Row],[Data da Venda]])</f>
        <v>10</v>
      </c>
      <c r="L733" s="175">
        <f>YEAR(Tabela1[[#This Row],[Data da Venda]])</f>
        <v>2013</v>
      </c>
    </row>
    <row r="734" spans="1:12" ht="15" hidden="1" customHeight="1">
      <c r="A734" s="151" t="s">
        <v>186</v>
      </c>
      <c r="B734" s="150" t="s">
        <v>418</v>
      </c>
      <c r="C734" s="171">
        <v>810</v>
      </c>
      <c r="D734" s="171" t="s">
        <v>329</v>
      </c>
      <c r="E734" s="171" t="s">
        <v>339</v>
      </c>
      <c r="F734" s="172">
        <v>41557</v>
      </c>
      <c r="G734" s="156" t="s">
        <v>465</v>
      </c>
      <c r="H734" s="173" t="s">
        <v>33</v>
      </c>
      <c r="I734" s="173">
        <v>221439.49</v>
      </c>
      <c r="J734" s="174">
        <v>0.5</v>
      </c>
      <c r="K734" s="175">
        <f>MONTH(Tabela1[[#This Row],[Data da Venda]])</f>
        <v>10</v>
      </c>
      <c r="L734" s="175">
        <f>YEAR(Tabela1[[#This Row],[Data da Venda]])</f>
        <v>2013</v>
      </c>
    </row>
    <row r="735" spans="1:12" ht="15" hidden="1" customHeight="1">
      <c r="A735" s="151" t="s">
        <v>186</v>
      </c>
      <c r="B735" s="150" t="s">
        <v>418</v>
      </c>
      <c r="C735" s="171">
        <v>811</v>
      </c>
      <c r="D735" s="171" t="s">
        <v>329</v>
      </c>
      <c r="E735" s="171" t="s">
        <v>339</v>
      </c>
      <c r="F735" s="172">
        <v>41557</v>
      </c>
      <c r="G735" s="156" t="s">
        <v>464</v>
      </c>
      <c r="H735" s="173" t="s">
        <v>33</v>
      </c>
      <c r="I735" s="173">
        <v>208741.02</v>
      </c>
      <c r="J735" s="174">
        <v>0.5</v>
      </c>
      <c r="K735" s="175">
        <f>MONTH(Tabela1[[#This Row],[Data da Venda]])</f>
        <v>10</v>
      </c>
      <c r="L735" s="175">
        <f>YEAR(Tabela1[[#This Row],[Data da Venda]])</f>
        <v>2013</v>
      </c>
    </row>
    <row r="736" spans="1:12" ht="15" hidden="1" customHeight="1">
      <c r="A736" s="151" t="s">
        <v>186</v>
      </c>
      <c r="B736" s="150" t="s">
        <v>418</v>
      </c>
      <c r="C736" s="171">
        <v>811</v>
      </c>
      <c r="D736" s="171" t="s">
        <v>329</v>
      </c>
      <c r="E736" s="171" t="s">
        <v>339</v>
      </c>
      <c r="F736" s="172">
        <v>41557</v>
      </c>
      <c r="G736" s="156" t="s">
        <v>465</v>
      </c>
      <c r="H736" s="173" t="s">
        <v>33</v>
      </c>
      <c r="I736" s="173">
        <v>208741.02</v>
      </c>
      <c r="J736" s="174">
        <v>0.5</v>
      </c>
      <c r="K736" s="175">
        <f>MONTH(Tabela1[[#This Row],[Data da Venda]])</f>
        <v>10</v>
      </c>
      <c r="L736" s="175">
        <f>YEAR(Tabela1[[#This Row],[Data da Venda]])</f>
        <v>2013</v>
      </c>
    </row>
    <row r="737" spans="1:12" ht="15" hidden="1" customHeight="1">
      <c r="A737" s="151" t="s">
        <v>186</v>
      </c>
      <c r="B737" s="150" t="s">
        <v>418</v>
      </c>
      <c r="C737" s="171">
        <v>812</v>
      </c>
      <c r="D737" s="171" t="s">
        <v>329</v>
      </c>
      <c r="E737" s="171" t="s">
        <v>339</v>
      </c>
      <c r="F737" s="172">
        <v>41557</v>
      </c>
      <c r="G737" s="156" t="s">
        <v>464</v>
      </c>
      <c r="H737" s="173" t="s">
        <v>33</v>
      </c>
      <c r="I737" s="173">
        <v>208741.02</v>
      </c>
      <c r="J737" s="174">
        <v>0.5</v>
      </c>
      <c r="K737" s="175">
        <f>MONTH(Tabela1[[#This Row],[Data da Venda]])</f>
        <v>10</v>
      </c>
      <c r="L737" s="175">
        <f>YEAR(Tabela1[[#This Row],[Data da Venda]])</f>
        <v>2013</v>
      </c>
    </row>
    <row r="738" spans="1:12" ht="15" hidden="1" customHeight="1">
      <c r="A738" s="151" t="s">
        <v>186</v>
      </c>
      <c r="B738" s="150" t="s">
        <v>418</v>
      </c>
      <c r="C738" s="171">
        <v>812</v>
      </c>
      <c r="D738" s="171" t="s">
        <v>329</v>
      </c>
      <c r="E738" s="171" t="s">
        <v>339</v>
      </c>
      <c r="F738" s="172">
        <v>41557</v>
      </c>
      <c r="G738" s="156" t="s">
        <v>465</v>
      </c>
      <c r="H738" s="173" t="s">
        <v>33</v>
      </c>
      <c r="I738" s="173">
        <v>208741.02</v>
      </c>
      <c r="J738" s="174">
        <v>0.5</v>
      </c>
      <c r="K738" s="175">
        <f>MONTH(Tabela1[[#This Row],[Data da Venda]])</f>
        <v>10</v>
      </c>
      <c r="L738" s="175">
        <f>YEAR(Tabela1[[#This Row],[Data da Venda]])</f>
        <v>2013</v>
      </c>
    </row>
    <row r="739" spans="1:12" ht="15" hidden="1" customHeight="1">
      <c r="A739" s="149" t="s">
        <v>423</v>
      </c>
      <c r="B739" s="150" t="s">
        <v>424</v>
      </c>
      <c r="C739" s="171">
        <v>1313</v>
      </c>
      <c r="D739" s="171" t="s">
        <v>328</v>
      </c>
      <c r="E739" s="171" t="s">
        <v>339</v>
      </c>
      <c r="F739" s="172">
        <v>41557</v>
      </c>
      <c r="G739" s="172" t="s">
        <v>49</v>
      </c>
      <c r="H739" s="173" t="s">
        <v>23</v>
      </c>
      <c r="I739" s="173">
        <v>295714.84000000003</v>
      </c>
      <c r="J739" s="174">
        <v>1</v>
      </c>
      <c r="K739" s="175">
        <f>MONTH(Tabela1[[#This Row],[Data da Venda]])</f>
        <v>10</v>
      </c>
      <c r="L739" s="175">
        <f>YEAR(Tabela1[[#This Row],[Data da Venda]])</f>
        <v>2013</v>
      </c>
    </row>
    <row r="740" spans="1:12" ht="15" hidden="1" customHeight="1">
      <c r="A740" s="149" t="s">
        <v>191</v>
      </c>
      <c r="B740" s="170" t="s">
        <v>435</v>
      </c>
      <c r="C740" s="171">
        <v>34</v>
      </c>
      <c r="D740" s="171" t="s">
        <v>328</v>
      </c>
      <c r="E740" s="171" t="s">
        <v>339</v>
      </c>
      <c r="F740" s="172">
        <v>41558</v>
      </c>
      <c r="G740" s="172" t="s">
        <v>19</v>
      </c>
      <c r="H740" s="173" t="s">
        <v>27</v>
      </c>
      <c r="I740" s="173">
        <v>195000</v>
      </c>
      <c r="J740" s="174">
        <v>1</v>
      </c>
      <c r="K740" s="175">
        <f>MONTH(Tabela1[[#This Row],[Data da Venda]])</f>
        <v>10</v>
      </c>
      <c r="L740" s="175">
        <f>YEAR(Tabela1[[#This Row],[Data da Venda]])</f>
        <v>2013</v>
      </c>
    </row>
    <row r="741" spans="1:12" ht="15" hidden="1" customHeight="1">
      <c r="A741" s="149" t="s">
        <v>208</v>
      </c>
      <c r="B741" s="150" t="s">
        <v>399</v>
      </c>
      <c r="C741" s="171">
        <v>87</v>
      </c>
      <c r="D741" s="171" t="s">
        <v>328</v>
      </c>
      <c r="E741" s="171" t="s">
        <v>339</v>
      </c>
      <c r="F741" s="172">
        <v>41560</v>
      </c>
      <c r="G741" s="172" t="s">
        <v>37</v>
      </c>
      <c r="H741" s="173" t="s">
        <v>61</v>
      </c>
      <c r="I741" s="173">
        <v>236000</v>
      </c>
      <c r="J741" s="174">
        <v>1</v>
      </c>
      <c r="K741" s="175">
        <f>MONTH(Tabela1[[#This Row],[Data da Venda]])</f>
        <v>10</v>
      </c>
      <c r="L741" s="175">
        <f>YEAR(Tabela1[[#This Row],[Data da Venda]])</f>
        <v>2013</v>
      </c>
    </row>
    <row r="742" spans="1:12" ht="15" hidden="1" customHeight="1">
      <c r="A742" s="169" t="s">
        <v>415</v>
      </c>
      <c r="B742" s="150" t="s">
        <v>416</v>
      </c>
      <c r="C742" s="171">
        <v>2108</v>
      </c>
      <c r="D742" s="171" t="s">
        <v>329</v>
      </c>
      <c r="E742" s="171" t="s">
        <v>339</v>
      </c>
      <c r="F742" s="172">
        <v>41562</v>
      </c>
      <c r="G742" s="156" t="s">
        <v>465</v>
      </c>
      <c r="H742" s="173" t="s">
        <v>33</v>
      </c>
      <c r="I742" s="173">
        <v>241500</v>
      </c>
      <c r="J742" s="174">
        <v>0.5</v>
      </c>
      <c r="K742" s="175">
        <f>MONTH(Tabela1[[#This Row],[Data da Venda]])</f>
        <v>10</v>
      </c>
      <c r="L742" s="175">
        <f>YEAR(Tabela1[[#This Row],[Data da Venda]])</f>
        <v>2013</v>
      </c>
    </row>
    <row r="743" spans="1:12" ht="15" hidden="1" customHeight="1">
      <c r="A743" s="169" t="s">
        <v>415</v>
      </c>
      <c r="B743" s="150" t="s">
        <v>416</v>
      </c>
      <c r="C743" s="171">
        <v>2108</v>
      </c>
      <c r="D743" s="171" t="s">
        <v>329</v>
      </c>
      <c r="E743" s="171" t="s">
        <v>339</v>
      </c>
      <c r="F743" s="172">
        <v>41562</v>
      </c>
      <c r="G743" s="156" t="s">
        <v>337</v>
      </c>
      <c r="H743" s="173" t="s">
        <v>33</v>
      </c>
      <c r="I743" s="173">
        <v>241500</v>
      </c>
      <c r="J743" s="174">
        <v>0.5</v>
      </c>
      <c r="K743" s="175">
        <f>MONTH(Tabela1[[#This Row],[Data da Venda]])</f>
        <v>10</v>
      </c>
      <c r="L743" s="175">
        <f>YEAR(Tabela1[[#This Row],[Data da Venda]])</f>
        <v>2013</v>
      </c>
    </row>
    <row r="744" spans="1:12" ht="15" hidden="1" customHeight="1">
      <c r="A744" s="149" t="s">
        <v>419</v>
      </c>
      <c r="B744" s="150" t="s">
        <v>454</v>
      </c>
      <c r="C744" s="171">
        <v>1611</v>
      </c>
      <c r="D744" s="155" t="s">
        <v>327</v>
      </c>
      <c r="E744" s="155" t="s">
        <v>327</v>
      </c>
      <c r="F744" s="172">
        <v>41563</v>
      </c>
      <c r="G744" s="156" t="s">
        <v>361</v>
      </c>
      <c r="H744" s="173" t="s">
        <v>362</v>
      </c>
      <c r="I744" s="173">
        <v>406798.99</v>
      </c>
      <c r="J744" s="174">
        <v>1</v>
      </c>
      <c r="K744" s="175">
        <f>MONTH(Tabela1[[#This Row],[Data da Venda]])</f>
        <v>10</v>
      </c>
      <c r="L744" s="175">
        <f>YEAR(Tabela1[[#This Row],[Data da Venda]])</f>
        <v>2013</v>
      </c>
    </row>
    <row r="745" spans="1:12" ht="15" hidden="1" customHeight="1">
      <c r="A745" s="149" t="s">
        <v>53</v>
      </c>
      <c r="B745" s="150" t="s">
        <v>414</v>
      </c>
      <c r="C745" s="155" t="s">
        <v>455</v>
      </c>
      <c r="D745" s="155" t="s">
        <v>328</v>
      </c>
      <c r="E745" s="155" t="s">
        <v>339</v>
      </c>
      <c r="F745" s="172">
        <v>41563</v>
      </c>
      <c r="G745" s="156" t="s">
        <v>43</v>
      </c>
      <c r="H745" s="157" t="s">
        <v>61</v>
      </c>
      <c r="I745" s="173">
        <v>33500</v>
      </c>
      <c r="J745" s="174">
        <v>1</v>
      </c>
      <c r="K745" s="175">
        <f>MONTH(Tabela1[[#This Row],[Data da Venda]])</f>
        <v>10</v>
      </c>
      <c r="L745" s="175">
        <f>YEAR(Tabela1[[#This Row],[Data da Venda]])</f>
        <v>2013</v>
      </c>
    </row>
    <row r="746" spans="1:12" ht="15" hidden="1" customHeight="1">
      <c r="A746" s="149" t="s">
        <v>415</v>
      </c>
      <c r="B746" s="150" t="s">
        <v>416</v>
      </c>
      <c r="C746" s="171">
        <v>405</v>
      </c>
      <c r="D746" s="155" t="s">
        <v>328</v>
      </c>
      <c r="E746" s="155" t="s">
        <v>340</v>
      </c>
      <c r="F746" s="172">
        <v>41565</v>
      </c>
      <c r="G746" s="156" t="s">
        <v>310</v>
      </c>
      <c r="H746" s="157" t="s">
        <v>61</v>
      </c>
      <c r="I746" s="173">
        <v>615000</v>
      </c>
      <c r="J746" s="174">
        <v>1</v>
      </c>
      <c r="K746" s="175">
        <f>MONTH(Tabela1[[#This Row],[Data da Venda]])</f>
        <v>10</v>
      </c>
      <c r="L746" s="175">
        <f>YEAR(Tabela1[[#This Row],[Data da Venda]])</f>
        <v>2013</v>
      </c>
    </row>
    <row r="747" spans="1:12" ht="15" hidden="1" customHeight="1">
      <c r="A747" s="149" t="s">
        <v>419</v>
      </c>
      <c r="B747" s="150" t="s">
        <v>454</v>
      </c>
      <c r="C747" s="171">
        <v>413</v>
      </c>
      <c r="D747" s="155" t="s">
        <v>327</v>
      </c>
      <c r="E747" s="155" t="s">
        <v>327</v>
      </c>
      <c r="F747" s="172">
        <v>41565</v>
      </c>
      <c r="G747" s="156" t="s">
        <v>361</v>
      </c>
      <c r="H747" s="157" t="s">
        <v>362</v>
      </c>
      <c r="I747" s="173">
        <v>383601.46</v>
      </c>
      <c r="J747" s="174">
        <v>1</v>
      </c>
      <c r="K747" s="175">
        <f>MONTH(Tabela1[[#This Row],[Data da Venda]])</f>
        <v>10</v>
      </c>
      <c r="L747" s="175">
        <f>YEAR(Tabela1[[#This Row],[Data da Venda]])</f>
        <v>2013</v>
      </c>
    </row>
    <row r="748" spans="1:12" ht="15" hidden="1" customHeight="1">
      <c r="A748" s="149" t="s">
        <v>427</v>
      </c>
      <c r="B748" s="193" t="s">
        <v>517</v>
      </c>
      <c r="C748" s="171">
        <v>903</v>
      </c>
      <c r="D748" s="155" t="s">
        <v>328</v>
      </c>
      <c r="E748" s="155" t="s">
        <v>339</v>
      </c>
      <c r="F748" s="172">
        <v>41568</v>
      </c>
      <c r="G748" s="156" t="s">
        <v>456</v>
      </c>
      <c r="H748" s="157" t="s">
        <v>23</v>
      </c>
      <c r="I748" s="173">
        <v>447836.04</v>
      </c>
      <c r="J748" s="174">
        <v>1</v>
      </c>
      <c r="K748" s="175">
        <f>MONTH(Tabela1[[#This Row],[Data da Venda]])</f>
        <v>10</v>
      </c>
      <c r="L748" s="175">
        <f>YEAR(Tabela1[[#This Row],[Data da Venda]])</f>
        <v>2013</v>
      </c>
    </row>
    <row r="749" spans="1:12" ht="15" hidden="1" customHeight="1">
      <c r="A749" s="149" t="s">
        <v>191</v>
      </c>
      <c r="B749" s="150" t="s">
        <v>385</v>
      </c>
      <c r="C749" s="171">
        <v>52</v>
      </c>
      <c r="D749" s="155" t="s">
        <v>327</v>
      </c>
      <c r="E749" s="155" t="s">
        <v>327</v>
      </c>
      <c r="F749" s="172">
        <v>41571</v>
      </c>
      <c r="G749" s="156" t="s">
        <v>360</v>
      </c>
      <c r="H749" s="157" t="s">
        <v>362</v>
      </c>
      <c r="I749" s="173">
        <v>244994.17</v>
      </c>
      <c r="J749" s="174">
        <v>1</v>
      </c>
      <c r="K749" s="175">
        <f>MONTH(Tabela1[[#This Row],[Data da Venda]])</f>
        <v>10</v>
      </c>
      <c r="L749" s="175">
        <f>YEAR(Tabela1[[#This Row],[Data da Venda]])</f>
        <v>2013</v>
      </c>
    </row>
    <row r="750" spans="1:12" ht="15" hidden="1" customHeight="1">
      <c r="A750" s="149" t="s">
        <v>208</v>
      </c>
      <c r="B750" s="150" t="s">
        <v>399</v>
      </c>
      <c r="C750" s="171">
        <v>103</v>
      </c>
      <c r="D750" s="155" t="s">
        <v>328</v>
      </c>
      <c r="E750" s="155" t="s">
        <v>339</v>
      </c>
      <c r="F750" s="172">
        <v>41571</v>
      </c>
      <c r="G750" s="156" t="s">
        <v>37</v>
      </c>
      <c r="H750" s="157" t="s">
        <v>61</v>
      </c>
      <c r="I750" s="173">
        <v>263216</v>
      </c>
      <c r="J750" s="174">
        <v>1</v>
      </c>
      <c r="K750" s="175">
        <f>MONTH(Tabela1[[#This Row],[Data da Venda]])</f>
        <v>10</v>
      </c>
      <c r="L750" s="175">
        <f>YEAR(Tabela1[[#This Row],[Data da Venda]])</f>
        <v>2013</v>
      </c>
    </row>
    <row r="751" spans="1:12" ht="15" hidden="1" customHeight="1">
      <c r="A751" s="149" t="s">
        <v>419</v>
      </c>
      <c r="B751" s="150" t="s">
        <v>454</v>
      </c>
      <c r="C751" s="194">
        <v>1204</v>
      </c>
      <c r="D751" s="194" t="s">
        <v>327</v>
      </c>
      <c r="E751" s="194" t="s">
        <v>327</v>
      </c>
      <c r="F751" s="234">
        <v>41572</v>
      </c>
      <c r="G751" s="156" t="s">
        <v>361</v>
      </c>
      <c r="H751" s="195" t="s">
        <v>362</v>
      </c>
      <c r="I751" s="195">
        <v>514865.61</v>
      </c>
      <c r="J751" s="196">
        <v>1</v>
      </c>
      <c r="K751" s="197">
        <f>MONTH(Tabela1[[#This Row],[Data da Venda]])</f>
        <v>10</v>
      </c>
      <c r="L751" s="197">
        <f>YEAR(Tabela1[[#This Row],[Data da Venda]])</f>
        <v>2013</v>
      </c>
    </row>
    <row r="752" spans="1:12" ht="15" hidden="1" customHeight="1">
      <c r="A752" s="149" t="s">
        <v>425</v>
      </c>
      <c r="B752" s="150" t="s">
        <v>394</v>
      </c>
      <c r="C752" s="171">
        <v>15</v>
      </c>
      <c r="D752" s="155" t="s">
        <v>328</v>
      </c>
      <c r="E752" s="155" t="s">
        <v>340</v>
      </c>
      <c r="F752" s="172">
        <v>41574</v>
      </c>
      <c r="G752" s="156" t="s">
        <v>309</v>
      </c>
      <c r="H752" s="157" t="s">
        <v>26</v>
      </c>
      <c r="I752" s="173">
        <v>363200</v>
      </c>
      <c r="J752" s="174">
        <v>1</v>
      </c>
      <c r="K752" s="175">
        <f>MONTH(Tabela1[[#This Row],[Data da Venda]])</f>
        <v>10</v>
      </c>
      <c r="L752" s="175">
        <f>YEAR(Tabela1[[#This Row],[Data da Venda]])</f>
        <v>2013</v>
      </c>
    </row>
    <row r="753" spans="1:12" ht="15" hidden="1" customHeight="1">
      <c r="A753" s="149" t="s">
        <v>186</v>
      </c>
      <c r="B753" s="150" t="s">
        <v>418</v>
      </c>
      <c r="C753" s="171">
        <v>611</v>
      </c>
      <c r="D753" s="155" t="s">
        <v>328</v>
      </c>
      <c r="E753" s="155" t="s">
        <v>339</v>
      </c>
      <c r="F753" s="172">
        <v>41574</v>
      </c>
      <c r="G753" s="156" t="s">
        <v>459</v>
      </c>
      <c r="H753" s="157" t="s">
        <v>460</v>
      </c>
      <c r="I753" s="173">
        <v>443277.5</v>
      </c>
      <c r="J753" s="174">
        <v>1</v>
      </c>
      <c r="K753" s="175">
        <f>MONTH(Tabela1[[#This Row],[Data da Venda]])</f>
        <v>10</v>
      </c>
      <c r="L753" s="175">
        <f>YEAR(Tabela1[[#This Row],[Data da Venda]])</f>
        <v>2013</v>
      </c>
    </row>
    <row r="754" spans="1:12" ht="15" hidden="1" customHeight="1">
      <c r="A754" s="149" t="s">
        <v>425</v>
      </c>
      <c r="B754" s="150" t="s">
        <v>409</v>
      </c>
      <c r="C754" s="171">
        <v>81</v>
      </c>
      <c r="D754" s="155" t="s">
        <v>328</v>
      </c>
      <c r="E754" s="155" t="s">
        <v>340</v>
      </c>
      <c r="F754" s="172">
        <v>41574</v>
      </c>
      <c r="G754" s="156" t="s">
        <v>304</v>
      </c>
      <c r="H754" s="157" t="s">
        <v>25</v>
      </c>
      <c r="I754" s="173">
        <v>194452</v>
      </c>
      <c r="J754" s="174">
        <v>0.5</v>
      </c>
      <c r="K754" s="175">
        <f>MONTH(Tabela1[[#This Row],[Data da Venda]])</f>
        <v>10</v>
      </c>
      <c r="L754" s="175">
        <f>YEAR(Tabela1[[#This Row],[Data da Venda]])</f>
        <v>2013</v>
      </c>
    </row>
    <row r="755" spans="1:12" ht="15" hidden="1" customHeight="1">
      <c r="A755" s="149" t="s">
        <v>425</v>
      </c>
      <c r="B755" s="150" t="s">
        <v>409</v>
      </c>
      <c r="C755" s="171">
        <v>81</v>
      </c>
      <c r="D755" s="155" t="s">
        <v>328</v>
      </c>
      <c r="E755" s="155" t="s">
        <v>340</v>
      </c>
      <c r="F755" s="172">
        <v>41574</v>
      </c>
      <c r="G755" s="156" t="s">
        <v>302</v>
      </c>
      <c r="H755" s="157" t="s">
        <v>25</v>
      </c>
      <c r="I755" s="173">
        <v>194452</v>
      </c>
      <c r="J755" s="174">
        <v>0.5</v>
      </c>
      <c r="K755" s="175">
        <f>MONTH(Tabela1[[#This Row],[Data da Venda]])</f>
        <v>10</v>
      </c>
      <c r="L755" s="175">
        <f>YEAR(Tabela1[[#This Row],[Data da Venda]])</f>
        <v>2013</v>
      </c>
    </row>
    <row r="756" spans="1:12" ht="15" hidden="1" customHeight="1">
      <c r="A756" s="149" t="s">
        <v>425</v>
      </c>
      <c r="B756" s="150" t="s">
        <v>409</v>
      </c>
      <c r="C756" s="171">
        <v>8</v>
      </c>
      <c r="D756" s="155" t="s">
        <v>328</v>
      </c>
      <c r="E756" s="155" t="s">
        <v>340</v>
      </c>
      <c r="F756" s="172">
        <v>41576</v>
      </c>
      <c r="G756" s="156" t="s">
        <v>283</v>
      </c>
      <c r="H756" s="157" t="s">
        <v>26</v>
      </c>
      <c r="I756" s="173">
        <v>200500</v>
      </c>
      <c r="J756" s="174">
        <v>0.5</v>
      </c>
      <c r="K756" s="175">
        <f>MONTH(Tabela1[[#This Row],[Data da Venda]])</f>
        <v>10</v>
      </c>
      <c r="L756" s="175">
        <f>YEAR(Tabela1[[#This Row],[Data da Venda]])</f>
        <v>2013</v>
      </c>
    </row>
    <row r="757" spans="1:12" ht="15" hidden="1" customHeight="1">
      <c r="A757" s="149" t="s">
        <v>425</v>
      </c>
      <c r="B757" s="150" t="s">
        <v>409</v>
      </c>
      <c r="C757" s="171">
        <v>8</v>
      </c>
      <c r="D757" s="155" t="s">
        <v>328</v>
      </c>
      <c r="E757" s="155" t="s">
        <v>340</v>
      </c>
      <c r="F757" s="172">
        <v>41576</v>
      </c>
      <c r="G757" s="156" t="s">
        <v>275</v>
      </c>
      <c r="H757" s="157" t="s">
        <v>27</v>
      </c>
      <c r="I757" s="173">
        <v>200500</v>
      </c>
      <c r="J757" s="174">
        <v>0.5</v>
      </c>
      <c r="K757" s="175">
        <f>MONTH(Tabela1[[#This Row],[Data da Venda]])</f>
        <v>10</v>
      </c>
      <c r="L757" s="175">
        <f>YEAR(Tabela1[[#This Row],[Data da Venda]])</f>
        <v>2013</v>
      </c>
    </row>
    <row r="758" spans="1:12" ht="15" hidden="1" customHeight="1">
      <c r="A758" s="149" t="s">
        <v>425</v>
      </c>
      <c r="B758" s="150" t="s">
        <v>394</v>
      </c>
      <c r="C758" s="171">
        <v>71</v>
      </c>
      <c r="D758" s="155" t="s">
        <v>328</v>
      </c>
      <c r="E758" s="155" t="s">
        <v>340</v>
      </c>
      <c r="F758" s="172">
        <v>41576</v>
      </c>
      <c r="G758" s="156" t="s">
        <v>65</v>
      </c>
      <c r="H758" s="157" t="s">
        <v>25</v>
      </c>
      <c r="I758" s="173">
        <v>395330</v>
      </c>
      <c r="J758" s="174">
        <v>1</v>
      </c>
      <c r="K758" s="175">
        <f>MONTH(Tabela1[[#This Row],[Data da Venda]])</f>
        <v>10</v>
      </c>
      <c r="L758" s="175">
        <f>YEAR(Tabela1[[#This Row],[Data da Venda]])</f>
        <v>2013</v>
      </c>
    </row>
    <row r="759" spans="1:12" ht="15" hidden="1" customHeight="1">
      <c r="A759" s="149" t="s">
        <v>208</v>
      </c>
      <c r="B759" s="150" t="s">
        <v>388</v>
      </c>
      <c r="C759" s="171">
        <v>4</v>
      </c>
      <c r="D759" s="155" t="s">
        <v>328</v>
      </c>
      <c r="E759" s="155" t="s">
        <v>339</v>
      </c>
      <c r="F759" s="172">
        <v>41576</v>
      </c>
      <c r="G759" s="156" t="s">
        <v>462</v>
      </c>
      <c r="H759" s="157" t="s">
        <v>23</v>
      </c>
      <c r="I759" s="173">
        <v>256323.95</v>
      </c>
      <c r="J759" s="174">
        <v>1</v>
      </c>
      <c r="K759" s="175">
        <f>MONTH(Tabela1[[#This Row],[Data da Venda]])</f>
        <v>10</v>
      </c>
      <c r="L759" s="175">
        <f>YEAR(Tabela1[[#This Row],[Data da Venda]])</f>
        <v>2013</v>
      </c>
    </row>
    <row r="760" spans="1:12" ht="15" hidden="1" customHeight="1">
      <c r="A760" s="149" t="s">
        <v>425</v>
      </c>
      <c r="B760" s="150" t="s">
        <v>394</v>
      </c>
      <c r="C760" s="171">
        <v>14</v>
      </c>
      <c r="D760" s="155" t="s">
        <v>328</v>
      </c>
      <c r="E760" s="155" t="s">
        <v>340</v>
      </c>
      <c r="F760" s="172">
        <v>41577</v>
      </c>
      <c r="G760" s="156" t="s">
        <v>196</v>
      </c>
      <c r="H760" s="157" t="s">
        <v>24</v>
      </c>
      <c r="I760" s="173">
        <v>327700</v>
      </c>
      <c r="J760" s="174">
        <v>1</v>
      </c>
      <c r="K760" s="175">
        <f>MONTH(Tabela1[[#This Row],[Data da Venda]])</f>
        <v>10</v>
      </c>
      <c r="L760" s="175">
        <f>YEAR(Tabela1[[#This Row],[Data da Venda]])</f>
        <v>2013</v>
      </c>
    </row>
    <row r="761" spans="1:12" ht="15" hidden="1" customHeight="1">
      <c r="A761" s="149" t="s">
        <v>415</v>
      </c>
      <c r="B761" s="150" t="s">
        <v>416</v>
      </c>
      <c r="C761" s="171">
        <v>512</v>
      </c>
      <c r="D761" s="155" t="s">
        <v>329</v>
      </c>
      <c r="E761" s="155" t="s">
        <v>340</v>
      </c>
      <c r="F761" s="172">
        <v>41578</v>
      </c>
      <c r="G761" s="156" t="s">
        <v>337</v>
      </c>
      <c r="H761" s="157" t="s">
        <v>33</v>
      </c>
      <c r="I761" s="173">
        <v>541000</v>
      </c>
      <c r="J761" s="174">
        <v>1</v>
      </c>
      <c r="K761" s="175">
        <f>MONTH(Tabela1[[#This Row],[Data da Venda]])</f>
        <v>10</v>
      </c>
      <c r="L761" s="175">
        <f>YEAR(Tabela1[[#This Row],[Data da Venda]])</f>
        <v>2013</v>
      </c>
    </row>
    <row r="762" spans="1:12" ht="15" hidden="1" customHeight="1">
      <c r="A762" s="149" t="s">
        <v>425</v>
      </c>
      <c r="B762" s="150" t="s">
        <v>394</v>
      </c>
      <c r="C762" s="171">
        <v>35</v>
      </c>
      <c r="D762" s="155" t="s">
        <v>328</v>
      </c>
      <c r="E762" s="155" t="s">
        <v>340</v>
      </c>
      <c r="F762" s="172">
        <v>41578</v>
      </c>
      <c r="G762" s="156" t="s">
        <v>274</v>
      </c>
      <c r="H762" s="157" t="s">
        <v>27</v>
      </c>
      <c r="I762" s="173">
        <v>361900</v>
      </c>
      <c r="J762" s="174">
        <v>1</v>
      </c>
      <c r="K762" s="175">
        <f>MONTH(Tabela1[[#This Row],[Data da Venda]])</f>
        <v>10</v>
      </c>
      <c r="L762" s="175">
        <f>YEAR(Tabela1[[#This Row],[Data da Venda]])</f>
        <v>2013</v>
      </c>
    </row>
    <row r="763" spans="1:12" ht="15" hidden="1" customHeight="1">
      <c r="A763" s="149" t="s">
        <v>415</v>
      </c>
      <c r="B763" s="150" t="s">
        <v>416</v>
      </c>
      <c r="C763" s="171">
        <v>2308</v>
      </c>
      <c r="D763" s="155" t="s">
        <v>328</v>
      </c>
      <c r="E763" s="155" t="s">
        <v>340</v>
      </c>
      <c r="F763" s="172">
        <v>41578</v>
      </c>
      <c r="G763" s="156" t="s">
        <v>280</v>
      </c>
      <c r="H763" s="157" t="s">
        <v>460</v>
      </c>
      <c r="I763" s="173">
        <v>506811.9</v>
      </c>
      <c r="J763" s="174">
        <v>1</v>
      </c>
      <c r="K763" s="175">
        <f>MONTH(Tabela1[[#This Row],[Data da Venda]])</f>
        <v>10</v>
      </c>
      <c r="L763" s="175">
        <f>YEAR(Tabela1[[#This Row],[Data da Venda]])</f>
        <v>2013</v>
      </c>
    </row>
    <row r="764" spans="1:12" ht="15" hidden="1" customHeight="1">
      <c r="A764" s="149" t="s">
        <v>191</v>
      </c>
      <c r="B764" s="150" t="s">
        <v>401</v>
      </c>
      <c r="C764" s="171">
        <v>51</v>
      </c>
      <c r="D764" s="155" t="s">
        <v>328</v>
      </c>
      <c r="E764" s="155" t="s">
        <v>339</v>
      </c>
      <c r="F764" s="172">
        <v>41578</v>
      </c>
      <c r="G764" s="156" t="s">
        <v>19</v>
      </c>
      <c r="H764" s="157" t="s">
        <v>27</v>
      </c>
      <c r="I764" s="173">
        <v>252000</v>
      </c>
      <c r="J764" s="174">
        <v>1</v>
      </c>
      <c r="K764" s="175">
        <f>MONTH(Tabela1[[#This Row],[Data da Venda]])</f>
        <v>10</v>
      </c>
      <c r="L764" s="175">
        <f>YEAR(Tabela1[[#This Row],[Data da Venda]])</f>
        <v>2013</v>
      </c>
    </row>
    <row r="765" spans="1:12" ht="15" hidden="1" customHeight="1">
      <c r="A765" s="149" t="s">
        <v>53</v>
      </c>
      <c r="B765" s="150" t="s">
        <v>414</v>
      </c>
      <c r="C765" s="171">
        <v>74</v>
      </c>
      <c r="D765" s="155" t="s">
        <v>328</v>
      </c>
      <c r="E765" s="155" t="s">
        <v>339</v>
      </c>
      <c r="F765" s="172">
        <v>41578</v>
      </c>
      <c r="G765" s="156" t="s">
        <v>36</v>
      </c>
      <c r="H765" s="157" t="s">
        <v>24</v>
      </c>
      <c r="I765" s="173">
        <v>521780</v>
      </c>
      <c r="J765" s="174">
        <v>1</v>
      </c>
      <c r="K765" s="175">
        <f>MONTH(Tabela1[[#This Row],[Data da Venda]])</f>
        <v>10</v>
      </c>
      <c r="L765" s="175">
        <f>YEAR(Tabela1[[#This Row],[Data da Venda]])</f>
        <v>2013</v>
      </c>
    </row>
    <row r="766" spans="1:12" ht="15" hidden="1" customHeight="1">
      <c r="A766" s="149" t="s">
        <v>433</v>
      </c>
      <c r="B766" s="150" t="s">
        <v>434</v>
      </c>
      <c r="C766" s="171">
        <v>132</v>
      </c>
      <c r="D766" s="155" t="s">
        <v>328</v>
      </c>
      <c r="E766" s="155" t="s">
        <v>339</v>
      </c>
      <c r="F766" s="172">
        <v>41578</v>
      </c>
      <c r="G766" s="156" t="s">
        <v>461</v>
      </c>
      <c r="H766" s="157" t="s">
        <v>25</v>
      </c>
      <c r="I766" s="173">
        <v>2379000</v>
      </c>
      <c r="J766" s="174">
        <v>1</v>
      </c>
      <c r="K766" s="175">
        <f>MONTH(Tabela1[[#This Row],[Data da Venda]])</f>
        <v>10</v>
      </c>
      <c r="L766" s="175">
        <f>YEAR(Tabela1[[#This Row],[Data da Venda]])</f>
        <v>2013</v>
      </c>
    </row>
    <row r="767" spans="1:12" ht="15" hidden="1" customHeight="1">
      <c r="A767" s="149" t="s">
        <v>419</v>
      </c>
      <c r="B767" s="150" t="s">
        <v>454</v>
      </c>
      <c r="C767" s="194">
        <v>407</v>
      </c>
      <c r="D767" s="194" t="s">
        <v>327</v>
      </c>
      <c r="E767" s="194" t="s">
        <v>327</v>
      </c>
      <c r="F767" s="234">
        <v>41578</v>
      </c>
      <c r="G767" s="156" t="s">
        <v>360</v>
      </c>
      <c r="H767" s="195" t="s">
        <v>362</v>
      </c>
      <c r="I767" s="195">
        <v>557491.18999999994</v>
      </c>
      <c r="J767" s="196">
        <v>1</v>
      </c>
      <c r="K767" s="197">
        <f>MONTH(Tabela1[[#This Row],[Data da Venda]])</f>
        <v>10</v>
      </c>
      <c r="L767" s="197">
        <f>YEAR(Tabela1[[#This Row],[Data da Venda]])</f>
        <v>2013</v>
      </c>
    </row>
    <row r="768" spans="1:12" ht="15" hidden="1" customHeight="1">
      <c r="A768" s="149" t="s">
        <v>427</v>
      </c>
      <c r="B768" s="193" t="s">
        <v>517</v>
      </c>
      <c r="C768" s="171">
        <v>904</v>
      </c>
      <c r="D768" s="155" t="s">
        <v>328</v>
      </c>
      <c r="E768" s="155" t="s">
        <v>339</v>
      </c>
      <c r="F768" s="172">
        <v>41578</v>
      </c>
      <c r="G768" s="156" t="s">
        <v>456</v>
      </c>
      <c r="H768" s="157" t="s">
        <v>23</v>
      </c>
      <c r="I768" s="173">
        <v>440275.72</v>
      </c>
      <c r="J768" s="174">
        <v>1</v>
      </c>
      <c r="K768" s="175">
        <f>MONTH(Tabela1[[#This Row],[Data da Venda]])</f>
        <v>10</v>
      </c>
      <c r="L768" s="175">
        <f>YEAR(Tabela1[[#This Row],[Data da Venda]])</f>
        <v>2013</v>
      </c>
    </row>
    <row r="769" spans="1:12" ht="15" hidden="1" customHeight="1">
      <c r="A769" s="149" t="s">
        <v>191</v>
      </c>
      <c r="B769" s="186" t="s">
        <v>136</v>
      </c>
      <c r="C769" s="187">
        <v>83</v>
      </c>
      <c r="D769" s="187" t="s">
        <v>328</v>
      </c>
      <c r="E769" s="187" t="s">
        <v>339</v>
      </c>
      <c r="F769" s="188">
        <v>41579</v>
      </c>
      <c r="G769" s="188" t="s">
        <v>375</v>
      </c>
      <c r="H769" s="189" t="s">
        <v>23</v>
      </c>
      <c r="I769" s="189">
        <v>206000</v>
      </c>
      <c r="J769" s="190">
        <v>1</v>
      </c>
      <c r="K769" s="191">
        <f>MONTH(Tabela1[[#This Row],[Data da Venda]])</f>
        <v>11</v>
      </c>
      <c r="L769" s="191">
        <f>YEAR(Tabela1[[#This Row],[Data da Venda]])</f>
        <v>2013</v>
      </c>
    </row>
    <row r="770" spans="1:12" ht="15" hidden="1" customHeight="1">
      <c r="A770" s="149" t="s">
        <v>191</v>
      </c>
      <c r="B770" s="150" t="s">
        <v>435</v>
      </c>
      <c r="C770" s="171">
        <v>114</v>
      </c>
      <c r="D770" s="155" t="s">
        <v>328</v>
      </c>
      <c r="E770" s="155" t="s">
        <v>339</v>
      </c>
      <c r="F770" s="172">
        <v>41580</v>
      </c>
      <c r="G770" s="156" t="s">
        <v>148</v>
      </c>
      <c r="H770" s="157" t="s">
        <v>26</v>
      </c>
      <c r="I770" s="173">
        <v>106000</v>
      </c>
      <c r="J770" s="174">
        <v>0.5</v>
      </c>
      <c r="K770" s="175">
        <f>MONTH(Tabela1[[#This Row],[Data da Venda]])</f>
        <v>11</v>
      </c>
      <c r="L770" s="175">
        <f>YEAR(Tabela1[[#This Row],[Data da Venda]])</f>
        <v>2013</v>
      </c>
    </row>
    <row r="771" spans="1:12" ht="15" hidden="1" customHeight="1">
      <c r="A771" s="149" t="s">
        <v>191</v>
      </c>
      <c r="B771" s="150" t="s">
        <v>435</v>
      </c>
      <c r="C771" s="171">
        <v>114</v>
      </c>
      <c r="D771" s="155" t="s">
        <v>328</v>
      </c>
      <c r="E771" s="155" t="s">
        <v>339</v>
      </c>
      <c r="F771" s="172">
        <v>41580</v>
      </c>
      <c r="G771" s="156" t="s">
        <v>19</v>
      </c>
      <c r="H771" s="157" t="s">
        <v>27</v>
      </c>
      <c r="I771" s="173">
        <v>106000</v>
      </c>
      <c r="J771" s="174">
        <v>0.5</v>
      </c>
      <c r="K771" s="175">
        <f>MONTH(Tabela1[[#This Row],[Data da Venda]])</f>
        <v>11</v>
      </c>
      <c r="L771" s="175">
        <f>YEAR(Tabela1[[#This Row],[Data da Venda]])</f>
        <v>2013</v>
      </c>
    </row>
    <row r="772" spans="1:12" ht="15" hidden="1" customHeight="1">
      <c r="A772" s="149" t="s">
        <v>191</v>
      </c>
      <c r="B772" s="150" t="s">
        <v>385</v>
      </c>
      <c r="C772" s="171">
        <v>136</v>
      </c>
      <c r="D772" s="155" t="s">
        <v>328</v>
      </c>
      <c r="E772" s="155" t="s">
        <v>339</v>
      </c>
      <c r="F772" s="172">
        <v>41580</v>
      </c>
      <c r="G772" s="156" t="s">
        <v>375</v>
      </c>
      <c r="H772" s="157" t="s">
        <v>23</v>
      </c>
      <c r="I772" s="173">
        <v>248000</v>
      </c>
      <c r="J772" s="174">
        <v>1</v>
      </c>
      <c r="K772" s="175">
        <f>MONTH(Tabela1[[#This Row],[Data da Venda]])</f>
        <v>11</v>
      </c>
      <c r="L772" s="175">
        <f>YEAR(Tabela1[[#This Row],[Data da Venda]])</f>
        <v>2013</v>
      </c>
    </row>
    <row r="773" spans="1:12" ht="15" hidden="1" customHeight="1">
      <c r="A773" s="149" t="s">
        <v>420</v>
      </c>
      <c r="B773" s="150" t="s">
        <v>467</v>
      </c>
      <c r="C773" s="171">
        <v>606</v>
      </c>
      <c r="D773" s="155" t="s">
        <v>329</v>
      </c>
      <c r="E773" s="155" t="s">
        <v>339</v>
      </c>
      <c r="F773" s="172">
        <v>41580</v>
      </c>
      <c r="G773" s="156" t="s">
        <v>465</v>
      </c>
      <c r="H773" s="157" t="s">
        <v>33</v>
      </c>
      <c r="I773" s="173">
        <v>466250</v>
      </c>
      <c r="J773" s="174">
        <v>1</v>
      </c>
      <c r="K773" s="175">
        <f>MONTH(Tabela1[[#This Row],[Data da Venda]])</f>
        <v>11</v>
      </c>
      <c r="L773" s="175">
        <f>YEAR(Tabela1[[#This Row],[Data da Venda]])</f>
        <v>2013</v>
      </c>
    </row>
    <row r="774" spans="1:12" ht="15" hidden="1" customHeight="1">
      <c r="A774" s="149" t="s">
        <v>53</v>
      </c>
      <c r="B774" s="150" t="s">
        <v>414</v>
      </c>
      <c r="C774" s="171">
        <v>67</v>
      </c>
      <c r="D774" s="155" t="s">
        <v>328</v>
      </c>
      <c r="E774" s="155" t="s">
        <v>339</v>
      </c>
      <c r="F774" s="172">
        <v>41581</v>
      </c>
      <c r="G774" s="156" t="s">
        <v>47</v>
      </c>
      <c r="H774" s="157" t="s">
        <v>25</v>
      </c>
      <c r="I774" s="173">
        <v>680000</v>
      </c>
      <c r="J774" s="174">
        <v>1</v>
      </c>
      <c r="K774" s="175">
        <f>MONTH(Tabela1[[#This Row],[Data da Venda]])</f>
        <v>11</v>
      </c>
      <c r="L774" s="175">
        <f>YEAR(Tabela1[[#This Row],[Data da Venda]])</f>
        <v>2013</v>
      </c>
    </row>
    <row r="775" spans="1:12" ht="15" hidden="1" customHeight="1">
      <c r="A775" s="149" t="s">
        <v>53</v>
      </c>
      <c r="B775" s="150" t="s">
        <v>414</v>
      </c>
      <c r="C775" s="155">
        <v>95</v>
      </c>
      <c r="D775" s="155" t="s">
        <v>328</v>
      </c>
      <c r="E775" s="155" t="s">
        <v>339</v>
      </c>
      <c r="F775" s="172">
        <v>41581</v>
      </c>
      <c r="G775" s="156" t="s">
        <v>469</v>
      </c>
      <c r="H775" s="157" t="s">
        <v>26</v>
      </c>
      <c r="I775" s="173">
        <v>522799</v>
      </c>
      <c r="J775" s="174">
        <v>1</v>
      </c>
      <c r="K775" s="175">
        <f>MONTH(Tabela1[[#This Row],[Data da Venda]])</f>
        <v>11</v>
      </c>
      <c r="L775" s="175">
        <f>YEAR(Tabela1[[#This Row],[Data da Venda]])</f>
        <v>2013</v>
      </c>
    </row>
    <row r="776" spans="1:12" ht="15" hidden="1" customHeight="1">
      <c r="A776" s="149" t="s">
        <v>53</v>
      </c>
      <c r="B776" s="150" t="s">
        <v>436</v>
      </c>
      <c r="C776" s="155" t="s">
        <v>468</v>
      </c>
      <c r="D776" s="155" t="s">
        <v>328</v>
      </c>
      <c r="E776" s="155" t="s">
        <v>339</v>
      </c>
      <c r="F776" s="172">
        <v>41581</v>
      </c>
      <c r="G776" s="156" t="s">
        <v>469</v>
      </c>
      <c r="H776" s="157" t="s">
        <v>26</v>
      </c>
      <c r="I776" s="173">
        <v>29873</v>
      </c>
      <c r="J776" s="174">
        <v>1</v>
      </c>
      <c r="K776" s="175">
        <f>MONTH(Tabela1[[#This Row],[Data da Venda]])</f>
        <v>11</v>
      </c>
      <c r="L776" s="175">
        <f>YEAR(Tabela1[[#This Row],[Data da Venda]])</f>
        <v>2013</v>
      </c>
    </row>
    <row r="777" spans="1:12" ht="15" hidden="1" customHeight="1">
      <c r="A777" s="149" t="s">
        <v>425</v>
      </c>
      <c r="B777" s="150" t="s">
        <v>409</v>
      </c>
      <c r="C777" s="171">
        <v>53</v>
      </c>
      <c r="D777" s="155" t="s">
        <v>328</v>
      </c>
      <c r="E777" s="155" t="s">
        <v>340</v>
      </c>
      <c r="F777" s="172">
        <v>41582</v>
      </c>
      <c r="G777" s="156" t="s">
        <v>302</v>
      </c>
      <c r="H777" s="157" t="s">
        <v>25</v>
      </c>
      <c r="I777" s="173">
        <v>466048.07</v>
      </c>
      <c r="J777" s="174">
        <v>1</v>
      </c>
      <c r="K777" s="175">
        <f>MONTH(Tabela1[[#This Row],[Data da Venda]])</f>
        <v>11</v>
      </c>
      <c r="L777" s="175">
        <f>YEAR(Tabela1[[#This Row],[Data da Venda]])</f>
        <v>2013</v>
      </c>
    </row>
    <row r="778" spans="1:12" ht="15" hidden="1" customHeight="1">
      <c r="A778" s="149" t="s">
        <v>470</v>
      </c>
      <c r="B778" s="150" t="s">
        <v>471</v>
      </c>
      <c r="C778" s="171">
        <v>61</v>
      </c>
      <c r="D778" s="155" t="s">
        <v>328</v>
      </c>
      <c r="E778" s="155" t="s">
        <v>340</v>
      </c>
      <c r="F778" s="172">
        <v>41582</v>
      </c>
      <c r="G778" s="156" t="s">
        <v>302</v>
      </c>
      <c r="H778" s="157" t="s">
        <v>25</v>
      </c>
      <c r="I778" s="173">
        <v>576600</v>
      </c>
      <c r="J778" s="174">
        <v>1</v>
      </c>
      <c r="K778" s="175">
        <f>MONTH(Tabela1[[#This Row],[Data da Venda]])</f>
        <v>11</v>
      </c>
      <c r="L778" s="175">
        <f>YEAR(Tabela1[[#This Row],[Data da Venda]])</f>
        <v>2013</v>
      </c>
    </row>
    <row r="779" spans="1:12" ht="15" hidden="1" customHeight="1">
      <c r="A779" s="149" t="s">
        <v>470</v>
      </c>
      <c r="B779" s="150" t="s">
        <v>471</v>
      </c>
      <c r="C779" s="171">
        <v>74</v>
      </c>
      <c r="D779" s="155" t="s">
        <v>328</v>
      </c>
      <c r="E779" s="155" t="s">
        <v>340</v>
      </c>
      <c r="F779" s="172">
        <v>41582</v>
      </c>
      <c r="G779" s="156" t="s">
        <v>310</v>
      </c>
      <c r="H779" s="157" t="s">
        <v>61</v>
      </c>
      <c r="I779" s="173">
        <v>420000</v>
      </c>
      <c r="J779" s="174">
        <v>1</v>
      </c>
      <c r="K779" s="175">
        <f>MONTH(Tabela1[[#This Row],[Data da Venda]])</f>
        <v>11</v>
      </c>
      <c r="L779" s="175">
        <f>YEAR(Tabela1[[#This Row],[Data da Venda]])</f>
        <v>2013</v>
      </c>
    </row>
    <row r="780" spans="1:12" ht="15" hidden="1" customHeight="1">
      <c r="A780" s="149" t="s">
        <v>415</v>
      </c>
      <c r="B780" s="150" t="s">
        <v>416</v>
      </c>
      <c r="C780" s="171">
        <v>2205</v>
      </c>
      <c r="D780" s="155" t="s">
        <v>328</v>
      </c>
      <c r="E780" s="155" t="s">
        <v>340</v>
      </c>
      <c r="F780" s="172">
        <v>41583</v>
      </c>
      <c r="G780" s="156" t="s">
        <v>235</v>
      </c>
      <c r="H780" s="157" t="s">
        <v>27</v>
      </c>
      <c r="I780" s="173">
        <v>716309.23</v>
      </c>
      <c r="J780" s="174">
        <v>1</v>
      </c>
      <c r="K780" s="175">
        <f>MONTH(Tabela1[[#This Row],[Data da Venda]])</f>
        <v>11</v>
      </c>
      <c r="L780" s="175">
        <f>YEAR(Tabela1[[#This Row],[Data da Venda]])</f>
        <v>2013</v>
      </c>
    </row>
    <row r="781" spans="1:12" ht="15" hidden="1" customHeight="1">
      <c r="A781" s="149" t="s">
        <v>470</v>
      </c>
      <c r="B781" s="150" t="s">
        <v>472</v>
      </c>
      <c r="C781" s="171">
        <v>112</v>
      </c>
      <c r="D781" s="155" t="s">
        <v>328</v>
      </c>
      <c r="E781" s="155" t="s">
        <v>340</v>
      </c>
      <c r="F781" s="172">
        <v>41583</v>
      </c>
      <c r="G781" s="156" t="s">
        <v>286</v>
      </c>
      <c r="H781" s="157" t="s">
        <v>61</v>
      </c>
      <c r="I781" s="173">
        <v>589000</v>
      </c>
      <c r="J781" s="174">
        <v>1</v>
      </c>
      <c r="K781" s="175">
        <f>MONTH(Tabela1[[#This Row],[Data da Venda]])</f>
        <v>11</v>
      </c>
      <c r="L781" s="175">
        <f>YEAR(Tabela1[[#This Row],[Data da Venda]])</f>
        <v>2013</v>
      </c>
    </row>
    <row r="782" spans="1:12" ht="15" hidden="1" customHeight="1">
      <c r="A782" s="149" t="s">
        <v>425</v>
      </c>
      <c r="B782" s="150" t="s">
        <v>409</v>
      </c>
      <c r="C782" s="171">
        <v>62</v>
      </c>
      <c r="D782" s="155" t="s">
        <v>328</v>
      </c>
      <c r="E782" s="155" t="s">
        <v>340</v>
      </c>
      <c r="F782" s="172">
        <v>41584</v>
      </c>
      <c r="G782" s="156" t="s">
        <v>295</v>
      </c>
      <c r="H782" s="157" t="s">
        <v>25</v>
      </c>
      <c r="I782" s="173">
        <v>547681.62</v>
      </c>
      <c r="J782" s="174">
        <v>1</v>
      </c>
      <c r="K782" s="175">
        <f>MONTH(Tabela1[[#This Row],[Data da Venda]])</f>
        <v>11</v>
      </c>
      <c r="L782" s="175">
        <f>YEAR(Tabela1[[#This Row],[Data da Venda]])</f>
        <v>2013</v>
      </c>
    </row>
    <row r="783" spans="1:12" ht="15" hidden="1" customHeight="1">
      <c r="A783" s="149" t="s">
        <v>191</v>
      </c>
      <c r="B783" s="150" t="s">
        <v>385</v>
      </c>
      <c r="C783" s="171">
        <v>3</v>
      </c>
      <c r="D783" s="155" t="s">
        <v>328</v>
      </c>
      <c r="E783" s="155" t="s">
        <v>339</v>
      </c>
      <c r="F783" s="172">
        <v>41584</v>
      </c>
      <c r="G783" s="156" t="s">
        <v>148</v>
      </c>
      <c r="H783" s="157" t="s">
        <v>26</v>
      </c>
      <c r="I783" s="173">
        <v>190000</v>
      </c>
      <c r="J783" s="174">
        <v>1</v>
      </c>
      <c r="K783" s="175">
        <f>MONTH(Tabela1[[#This Row],[Data da Venda]])</f>
        <v>11</v>
      </c>
      <c r="L783" s="175">
        <f>YEAR(Tabela1[[#This Row],[Data da Venda]])</f>
        <v>2013</v>
      </c>
    </row>
    <row r="784" spans="1:12" ht="15" hidden="1" customHeight="1">
      <c r="A784" s="192" t="s">
        <v>419</v>
      </c>
      <c r="B784" s="193" t="s">
        <v>454</v>
      </c>
      <c r="C784" s="194">
        <v>402</v>
      </c>
      <c r="D784" s="194" t="s">
        <v>327</v>
      </c>
      <c r="E784" s="155" t="s">
        <v>327</v>
      </c>
      <c r="F784" s="234">
        <v>41584</v>
      </c>
      <c r="G784" s="156" t="s">
        <v>360</v>
      </c>
      <c r="H784" s="195" t="s">
        <v>362</v>
      </c>
      <c r="I784" s="195">
        <v>582200</v>
      </c>
      <c r="J784" s="196">
        <v>1</v>
      </c>
      <c r="K784" s="197">
        <f>MONTH(Tabela1[[#This Row],[Data da Venda]])</f>
        <v>11</v>
      </c>
      <c r="L784" s="197">
        <f>YEAR(Tabela1[[#This Row],[Data da Venda]])</f>
        <v>2013</v>
      </c>
    </row>
    <row r="785" spans="1:12" ht="15" hidden="1" customHeight="1">
      <c r="A785" s="149" t="s">
        <v>425</v>
      </c>
      <c r="B785" s="150" t="s">
        <v>409</v>
      </c>
      <c r="C785" s="171">
        <v>72</v>
      </c>
      <c r="D785" s="155" t="s">
        <v>328</v>
      </c>
      <c r="E785" s="155" t="s">
        <v>340</v>
      </c>
      <c r="F785" s="172">
        <v>41585</v>
      </c>
      <c r="G785" s="156" t="s">
        <v>302</v>
      </c>
      <c r="H785" s="157" t="s">
        <v>25</v>
      </c>
      <c r="I785" s="173">
        <v>274100</v>
      </c>
      <c r="J785" s="174">
        <v>0.5</v>
      </c>
      <c r="K785" s="175">
        <f>MONTH(Tabela1[[#This Row],[Data da Venda]])</f>
        <v>11</v>
      </c>
      <c r="L785" s="175">
        <f>YEAR(Tabela1[[#This Row],[Data da Venda]])</f>
        <v>2013</v>
      </c>
    </row>
    <row r="786" spans="1:12" ht="15" hidden="1" customHeight="1">
      <c r="A786" s="149" t="s">
        <v>425</v>
      </c>
      <c r="B786" s="150" t="s">
        <v>409</v>
      </c>
      <c r="C786" s="171">
        <v>72</v>
      </c>
      <c r="D786" s="155" t="s">
        <v>328</v>
      </c>
      <c r="E786" s="155" t="s">
        <v>340</v>
      </c>
      <c r="F786" s="172">
        <v>41585</v>
      </c>
      <c r="G786" s="156" t="s">
        <v>295</v>
      </c>
      <c r="H786" s="157" t="s">
        <v>25</v>
      </c>
      <c r="I786" s="173">
        <v>274100</v>
      </c>
      <c r="J786" s="174">
        <v>0.5</v>
      </c>
      <c r="K786" s="175">
        <f>MONTH(Tabela1[[#This Row],[Data da Venda]])</f>
        <v>11</v>
      </c>
      <c r="L786" s="175">
        <f>YEAR(Tabela1[[#This Row],[Data da Venda]])</f>
        <v>2013</v>
      </c>
    </row>
    <row r="787" spans="1:12" ht="15" hidden="1" customHeight="1">
      <c r="A787" s="149" t="s">
        <v>470</v>
      </c>
      <c r="B787" s="150" t="s">
        <v>472</v>
      </c>
      <c r="C787" s="171">
        <v>36</v>
      </c>
      <c r="D787" s="155" t="s">
        <v>328</v>
      </c>
      <c r="E787" s="155" t="s">
        <v>340</v>
      </c>
      <c r="F787" s="172">
        <v>41585</v>
      </c>
      <c r="G787" s="156" t="s">
        <v>473</v>
      </c>
      <c r="H787" s="157" t="s">
        <v>27</v>
      </c>
      <c r="I787" s="173">
        <v>443431</v>
      </c>
      <c r="J787" s="174">
        <v>1</v>
      </c>
      <c r="K787" s="175">
        <f>MONTH(Tabela1[[#This Row],[Data da Venda]])</f>
        <v>11</v>
      </c>
      <c r="L787" s="175">
        <f>YEAR(Tabela1[[#This Row],[Data da Venda]])</f>
        <v>2013</v>
      </c>
    </row>
    <row r="788" spans="1:12" ht="15" hidden="1" customHeight="1">
      <c r="A788" s="149" t="s">
        <v>470</v>
      </c>
      <c r="B788" s="150" t="s">
        <v>471</v>
      </c>
      <c r="C788" s="171">
        <v>56</v>
      </c>
      <c r="D788" s="155" t="s">
        <v>328</v>
      </c>
      <c r="E788" s="155" t="s">
        <v>340</v>
      </c>
      <c r="F788" s="172">
        <v>41585</v>
      </c>
      <c r="G788" s="156" t="s">
        <v>474</v>
      </c>
      <c r="H788" s="157" t="s">
        <v>61</v>
      </c>
      <c r="I788" s="173">
        <v>238775.5</v>
      </c>
      <c r="J788" s="174">
        <v>0.5</v>
      </c>
      <c r="K788" s="175">
        <f>MONTH(Tabela1[[#This Row],[Data da Venda]])</f>
        <v>11</v>
      </c>
      <c r="L788" s="175">
        <f>YEAR(Tabela1[[#This Row],[Data da Venda]])</f>
        <v>2013</v>
      </c>
    </row>
    <row r="789" spans="1:12" ht="15" hidden="1" customHeight="1">
      <c r="A789" s="149" t="s">
        <v>470</v>
      </c>
      <c r="B789" s="150" t="s">
        <v>471</v>
      </c>
      <c r="C789" s="171">
        <v>56</v>
      </c>
      <c r="D789" s="155" t="s">
        <v>328</v>
      </c>
      <c r="E789" s="155" t="s">
        <v>340</v>
      </c>
      <c r="F789" s="172">
        <v>41585</v>
      </c>
      <c r="G789" s="156" t="s">
        <v>179</v>
      </c>
      <c r="H789" s="157" t="s">
        <v>61</v>
      </c>
      <c r="I789" s="173">
        <v>238775.5</v>
      </c>
      <c r="J789" s="174">
        <v>0.5</v>
      </c>
      <c r="K789" s="175">
        <f>MONTH(Tabela1[[#This Row],[Data da Venda]])</f>
        <v>11</v>
      </c>
      <c r="L789" s="175">
        <f>YEAR(Tabela1[[#This Row],[Data da Venda]])</f>
        <v>2013</v>
      </c>
    </row>
    <row r="790" spans="1:12" ht="15" hidden="1" customHeight="1">
      <c r="A790" s="149" t="s">
        <v>470</v>
      </c>
      <c r="B790" s="150" t="s">
        <v>471</v>
      </c>
      <c r="C790" s="171">
        <v>185</v>
      </c>
      <c r="D790" s="155" t="s">
        <v>328</v>
      </c>
      <c r="E790" s="155" t="s">
        <v>340</v>
      </c>
      <c r="F790" s="172">
        <v>41585</v>
      </c>
      <c r="G790" s="156" t="s">
        <v>22</v>
      </c>
      <c r="H790" s="157" t="s">
        <v>23</v>
      </c>
      <c r="I790" s="173">
        <v>506646.17</v>
      </c>
      <c r="J790" s="174">
        <v>1</v>
      </c>
      <c r="K790" s="175">
        <f>MONTH(Tabela1[[#This Row],[Data da Venda]])</f>
        <v>11</v>
      </c>
      <c r="L790" s="175">
        <f>YEAR(Tabela1[[#This Row],[Data da Venda]])</f>
        <v>2013</v>
      </c>
    </row>
    <row r="791" spans="1:12" ht="15" hidden="1" customHeight="1">
      <c r="A791" s="149" t="s">
        <v>53</v>
      </c>
      <c r="B791" s="150" t="s">
        <v>414</v>
      </c>
      <c r="C791" s="171">
        <v>83</v>
      </c>
      <c r="D791" s="155" t="s">
        <v>328</v>
      </c>
      <c r="E791" s="155" t="s">
        <v>339</v>
      </c>
      <c r="F791" s="172">
        <v>41585</v>
      </c>
      <c r="G791" s="156" t="s">
        <v>307</v>
      </c>
      <c r="H791" s="157" t="s">
        <v>24</v>
      </c>
      <c r="I791" s="173">
        <v>727800</v>
      </c>
      <c r="J791" s="174">
        <v>1</v>
      </c>
      <c r="K791" s="175">
        <f>MONTH(Tabela1[[#This Row],[Data da Venda]])</f>
        <v>11</v>
      </c>
      <c r="L791" s="175">
        <f>YEAR(Tabela1[[#This Row],[Data da Venda]])</f>
        <v>2013</v>
      </c>
    </row>
    <row r="792" spans="1:12" ht="15" hidden="1" customHeight="1">
      <c r="A792" s="149" t="s">
        <v>425</v>
      </c>
      <c r="B792" s="150" t="s">
        <v>486</v>
      </c>
      <c r="C792" s="171">
        <v>7</v>
      </c>
      <c r="D792" s="155" t="s">
        <v>328</v>
      </c>
      <c r="E792" s="155" t="s">
        <v>340</v>
      </c>
      <c r="F792" s="172">
        <v>41588</v>
      </c>
      <c r="G792" s="156" t="s">
        <v>487</v>
      </c>
      <c r="H792" s="157" t="s">
        <v>27</v>
      </c>
      <c r="I792" s="173">
        <v>495000</v>
      </c>
      <c r="J792" s="174">
        <v>1</v>
      </c>
      <c r="K792" s="175">
        <f>MONTH(Tabela1[[#This Row],[Data da Venda]])</f>
        <v>11</v>
      </c>
      <c r="L792" s="175">
        <f>YEAR(Tabela1[[#This Row],[Data da Venda]])</f>
        <v>2013</v>
      </c>
    </row>
    <row r="793" spans="1:12" ht="15" hidden="1" customHeight="1">
      <c r="A793" s="149" t="s">
        <v>425</v>
      </c>
      <c r="B793" s="150" t="s">
        <v>486</v>
      </c>
      <c r="C793" s="171">
        <v>44</v>
      </c>
      <c r="D793" s="155" t="s">
        <v>328</v>
      </c>
      <c r="E793" s="155" t="s">
        <v>340</v>
      </c>
      <c r="F793" s="172">
        <v>41588</v>
      </c>
      <c r="G793" s="156" t="s">
        <v>304</v>
      </c>
      <c r="H793" s="157" t="s">
        <v>25</v>
      </c>
      <c r="I793" s="173">
        <v>394000</v>
      </c>
      <c r="J793" s="174">
        <v>1</v>
      </c>
      <c r="K793" s="175">
        <f>MONTH(Tabela1[[#This Row],[Data da Venda]])</f>
        <v>11</v>
      </c>
      <c r="L793" s="175">
        <f>YEAR(Tabela1[[#This Row],[Data da Venda]])</f>
        <v>2013</v>
      </c>
    </row>
    <row r="794" spans="1:12" ht="15" hidden="1" customHeight="1">
      <c r="A794" s="149" t="s">
        <v>415</v>
      </c>
      <c r="B794" s="150" t="s">
        <v>416</v>
      </c>
      <c r="C794" s="171">
        <v>2405</v>
      </c>
      <c r="D794" s="155" t="s">
        <v>328</v>
      </c>
      <c r="E794" s="155" t="s">
        <v>340</v>
      </c>
      <c r="F794" s="172">
        <v>41588</v>
      </c>
      <c r="G794" s="156" t="s">
        <v>308</v>
      </c>
      <c r="H794" s="157" t="s">
        <v>26</v>
      </c>
      <c r="I794" s="173">
        <v>717000</v>
      </c>
      <c r="J794" s="174">
        <v>1</v>
      </c>
      <c r="K794" s="175">
        <f>MONTH(Tabela1[[#This Row],[Data da Venda]])</f>
        <v>11</v>
      </c>
      <c r="L794" s="175">
        <f>YEAR(Tabela1[[#This Row],[Data da Venda]])</f>
        <v>2013</v>
      </c>
    </row>
    <row r="795" spans="1:12" ht="15" hidden="1" customHeight="1">
      <c r="A795" s="149" t="s">
        <v>191</v>
      </c>
      <c r="B795" s="150" t="s">
        <v>385</v>
      </c>
      <c r="C795" s="171">
        <v>106</v>
      </c>
      <c r="D795" s="155" t="s">
        <v>328</v>
      </c>
      <c r="E795" s="155" t="s">
        <v>340</v>
      </c>
      <c r="F795" s="172">
        <v>41588</v>
      </c>
      <c r="G795" s="156" t="s">
        <v>148</v>
      </c>
      <c r="H795" s="157" t="s">
        <v>26</v>
      </c>
      <c r="I795" s="173">
        <v>264000</v>
      </c>
      <c r="J795" s="174">
        <v>1</v>
      </c>
      <c r="K795" s="175">
        <f>MONTH(Tabela1[[#This Row],[Data da Venda]])</f>
        <v>11</v>
      </c>
      <c r="L795" s="175">
        <f>YEAR(Tabela1[[#This Row],[Data da Venda]])</f>
        <v>2013</v>
      </c>
    </row>
    <row r="796" spans="1:12" ht="15" hidden="1" customHeight="1">
      <c r="A796" s="149" t="s">
        <v>470</v>
      </c>
      <c r="B796" s="150" t="s">
        <v>471</v>
      </c>
      <c r="C796" s="171">
        <v>21</v>
      </c>
      <c r="D796" s="155" t="s">
        <v>328</v>
      </c>
      <c r="E796" s="155" t="s">
        <v>340</v>
      </c>
      <c r="F796" s="172">
        <v>41588</v>
      </c>
      <c r="G796" s="156" t="s">
        <v>484</v>
      </c>
      <c r="H796" s="157" t="s">
        <v>25</v>
      </c>
      <c r="I796" s="173">
        <v>315418.52</v>
      </c>
      <c r="J796" s="174">
        <v>0.5</v>
      </c>
      <c r="K796" s="175">
        <f>MONTH(Tabela1[[#This Row],[Data da Venda]])</f>
        <v>11</v>
      </c>
      <c r="L796" s="175">
        <f>YEAR(Tabela1[[#This Row],[Data da Venda]])</f>
        <v>2013</v>
      </c>
    </row>
    <row r="797" spans="1:12" ht="15" hidden="1" customHeight="1">
      <c r="A797" s="149" t="s">
        <v>470</v>
      </c>
      <c r="B797" s="150" t="s">
        <v>471</v>
      </c>
      <c r="C797" s="171">
        <v>21</v>
      </c>
      <c r="D797" s="155" t="s">
        <v>329</v>
      </c>
      <c r="E797" s="155" t="s">
        <v>340</v>
      </c>
      <c r="F797" s="172">
        <v>41588</v>
      </c>
      <c r="G797" s="156" t="s">
        <v>463</v>
      </c>
      <c r="H797" s="157" t="s">
        <v>33</v>
      </c>
      <c r="I797" s="173">
        <v>315418.52</v>
      </c>
      <c r="J797" s="174">
        <v>0.5</v>
      </c>
      <c r="K797" s="175">
        <f>MONTH(Tabela1[[#This Row],[Data da Venda]])</f>
        <v>11</v>
      </c>
      <c r="L797" s="175">
        <f>YEAR(Tabela1[[#This Row],[Data da Venda]])</f>
        <v>2013</v>
      </c>
    </row>
    <row r="798" spans="1:12" ht="15" hidden="1" customHeight="1">
      <c r="A798" s="149" t="s">
        <v>470</v>
      </c>
      <c r="B798" s="150" t="s">
        <v>471</v>
      </c>
      <c r="C798" s="171">
        <v>96</v>
      </c>
      <c r="D798" s="155" t="s">
        <v>329</v>
      </c>
      <c r="E798" s="155" t="s">
        <v>340</v>
      </c>
      <c r="F798" s="172">
        <v>41588</v>
      </c>
      <c r="G798" s="156" t="s">
        <v>465</v>
      </c>
      <c r="H798" s="157" t="s">
        <v>33</v>
      </c>
      <c r="I798" s="173">
        <v>487294.81</v>
      </c>
      <c r="J798" s="174">
        <v>1</v>
      </c>
      <c r="K798" s="175">
        <f>MONTH(Tabela1[[#This Row],[Data da Venda]])</f>
        <v>11</v>
      </c>
      <c r="L798" s="175">
        <f>YEAR(Tabela1[[#This Row],[Data da Venda]])</f>
        <v>2013</v>
      </c>
    </row>
    <row r="799" spans="1:12" ht="15" hidden="1" customHeight="1">
      <c r="A799" s="149" t="s">
        <v>470</v>
      </c>
      <c r="B799" s="150" t="s">
        <v>472</v>
      </c>
      <c r="C799" s="171">
        <v>72</v>
      </c>
      <c r="D799" s="155" t="s">
        <v>328</v>
      </c>
      <c r="E799" s="155" t="s">
        <v>340</v>
      </c>
      <c r="F799" s="172">
        <v>41588</v>
      </c>
      <c r="G799" s="156" t="s">
        <v>485</v>
      </c>
      <c r="H799" s="157" t="s">
        <v>26</v>
      </c>
      <c r="I799" s="173">
        <v>621036.80000000005</v>
      </c>
      <c r="J799" s="174">
        <v>1</v>
      </c>
      <c r="K799" s="175">
        <f>MONTH(Tabela1[[#This Row],[Data da Venda]])</f>
        <v>11</v>
      </c>
      <c r="L799" s="175">
        <f>YEAR(Tabela1[[#This Row],[Data da Venda]])</f>
        <v>2013</v>
      </c>
    </row>
    <row r="800" spans="1:12" ht="15" hidden="1" customHeight="1">
      <c r="A800" s="149" t="s">
        <v>470</v>
      </c>
      <c r="B800" s="150" t="s">
        <v>472</v>
      </c>
      <c r="C800" s="171">
        <v>74</v>
      </c>
      <c r="D800" s="155" t="s">
        <v>328</v>
      </c>
      <c r="E800" s="155" t="s">
        <v>340</v>
      </c>
      <c r="F800" s="172">
        <v>41588</v>
      </c>
      <c r="G800" s="156" t="s">
        <v>483</v>
      </c>
      <c r="H800" s="157" t="s">
        <v>24</v>
      </c>
      <c r="I800" s="173">
        <v>487273.06</v>
      </c>
      <c r="J800" s="174">
        <v>1</v>
      </c>
      <c r="K800" s="175">
        <f>MONTH(Tabela1[[#This Row],[Data da Venda]])</f>
        <v>11</v>
      </c>
      <c r="L800" s="175">
        <f>YEAR(Tabela1[[#This Row],[Data da Venda]])</f>
        <v>2013</v>
      </c>
    </row>
    <row r="801" spans="1:12" ht="15" hidden="1" customHeight="1">
      <c r="A801" s="149" t="s">
        <v>470</v>
      </c>
      <c r="B801" s="150" t="s">
        <v>472</v>
      </c>
      <c r="C801" s="171">
        <v>35</v>
      </c>
      <c r="D801" s="155" t="s">
        <v>329</v>
      </c>
      <c r="E801" s="155" t="s">
        <v>340</v>
      </c>
      <c r="F801" s="172">
        <v>41589</v>
      </c>
      <c r="G801" s="156" t="s">
        <v>465</v>
      </c>
      <c r="H801" s="157" t="s">
        <v>33</v>
      </c>
      <c r="I801" s="173">
        <v>508338.72</v>
      </c>
      <c r="J801" s="174">
        <v>1</v>
      </c>
      <c r="K801" s="175">
        <f>MONTH(Tabela1[[#This Row],[Data da Venda]])</f>
        <v>11</v>
      </c>
      <c r="L801" s="175">
        <f>YEAR(Tabela1[[#This Row],[Data da Venda]])</f>
        <v>2013</v>
      </c>
    </row>
    <row r="802" spans="1:12" ht="15" hidden="1" customHeight="1">
      <c r="A802" s="149" t="s">
        <v>53</v>
      </c>
      <c r="B802" s="150" t="s">
        <v>436</v>
      </c>
      <c r="C802" s="155" t="s">
        <v>488</v>
      </c>
      <c r="D802" s="155" t="s">
        <v>328</v>
      </c>
      <c r="E802" s="155" t="s">
        <v>339</v>
      </c>
      <c r="F802" s="172">
        <v>41589</v>
      </c>
      <c r="G802" s="156" t="s">
        <v>43</v>
      </c>
      <c r="H802" s="157" t="s">
        <v>61</v>
      </c>
      <c r="I802" s="173">
        <v>36875</v>
      </c>
      <c r="J802" s="174">
        <v>1</v>
      </c>
      <c r="K802" s="175">
        <f>MONTH(Tabela1[[#This Row],[Data da Venda]])</f>
        <v>11</v>
      </c>
      <c r="L802" s="175">
        <f>YEAR(Tabela1[[#This Row],[Data da Venda]])</f>
        <v>2013</v>
      </c>
    </row>
    <row r="803" spans="1:12" ht="15" hidden="1" customHeight="1">
      <c r="A803" s="149" t="s">
        <v>425</v>
      </c>
      <c r="B803" s="150" t="s">
        <v>409</v>
      </c>
      <c r="C803" s="171">
        <v>54</v>
      </c>
      <c r="D803" s="155" t="s">
        <v>328</v>
      </c>
      <c r="E803" s="155" t="s">
        <v>340</v>
      </c>
      <c r="F803" s="172">
        <v>41590</v>
      </c>
      <c r="G803" s="156" t="s">
        <v>302</v>
      </c>
      <c r="H803" s="157" t="s">
        <v>25</v>
      </c>
      <c r="I803" s="173">
        <v>377100</v>
      </c>
      <c r="J803" s="174">
        <v>1</v>
      </c>
      <c r="K803" s="175">
        <f>MONTH(Tabela1[[#This Row],[Data da Venda]])</f>
        <v>11</v>
      </c>
      <c r="L803" s="175">
        <f>YEAR(Tabela1[[#This Row],[Data da Venda]])</f>
        <v>2013</v>
      </c>
    </row>
    <row r="804" spans="1:12" ht="15" hidden="1" customHeight="1">
      <c r="A804" s="149" t="s">
        <v>191</v>
      </c>
      <c r="B804" s="150" t="s">
        <v>392</v>
      </c>
      <c r="C804" s="171">
        <v>143</v>
      </c>
      <c r="D804" s="155" t="s">
        <v>328</v>
      </c>
      <c r="E804" s="155" t="s">
        <v>339</v>
      </c>
      <c r="F804" s="172">
        <v>41590</v>
      </c>
      <c r="G804" s="156" t="s">
        <v>19</v>
      </c>
      <c r="H804" s="157" t="s">
        <v>27</v>
      </c>
      <c r="I804" s="173">
        <v>210000</v>
      </c>
      <c r="J804" s="174">
        <v>1</v>
      </c>
      <c r="K804" s="175">
        <f>MONTH(Tabela1[[#This Row],[Data da Venda]])</f>
        <v>11</v>
      </c>
      <c r="L804" s="175">
        <f>YEAR(Tabela1[[#This Row],[Data da Venda]])</f>
        <v>2013</v>
      </c>
    </row>
    <row r="805" spans="1:12" ht="15" hidden="1" customHeight="1">
      <c r="A805" s="149" t="s">
        <v>489</v>
      </c>
      <c r="B805" s="150" t="s">
        <v>490</v>
      </c>
      <c r="C805" s="171">
        <v>118</v>
      </c>
      <c r="D805" s="155" t="s">
        <v>328</v>
      </c>
      <c r="E805" s="155" t="s">
        <v>340</v>
      </c>
      <c r="F805" s="172">
        <v>41590</v>
      </c>
      <c r="G805" s="156" t="s">
        <v>172</v>
      </c>
      <c r="H805" s="157" t="s">
        <v>24</v>
      </c>
      <c r="I805" s="173">
        <v>229242.69</v>
      </c>
      <c r="J805" s="174">
        <v>1</v>
      </c>
      <c r="K805" s="175">
        <f>MONTH(Tabela1[[#This Row],[Data da Venda]])</f>
        <v>11</v>
      </c>
      <c r="L805" s="175">
        <f>YEAR(Tabela1[[#This Row],[Data da Venda]])</f>
        <v>2013</v>
      </c>
    </row>
    <row r="806" spans="1:12" ht="15" hidden="1" customHeight="1">
      <c r="A806" s="149" t="s">
        <v>489</v>
      </c>
      <c r="B806" s="150" t="s">
        <v>490</v>
      </c>
      <c r="C806" s="171">
        <v>102</v>
      </c>
      <c r="D806" s="155" t="s">
        <v>328</v>
      </c>
      <c r="E806" s="155" t="s">
        <v>340</v>
      </c>
      <c r="F806" s="172">
        <v>41590</v>
      </c>
      <c r="G806" s="156" t="s">
        <v>172</v>
      </c>
      <c r="H806" s="157" t="s">
        <v>24</v>
      </c>
      <c r="I806" s="173">
        <v>242052</v>
      </c>
      <c r="J806" s="174">
        <v>1</v>
      </c>
      <c r="K806" s="175">
        <f>MONTH(Tabela1[[#This Row],[Data da Venda]])</f>
        <v>11</v>
      </c>
      <c r="L806" s="175">
        <f>YEAR(Tabela1[[#This Row],[Data da Venda]])</f>
        <v>2013</v>
      </c>
    </row>
    <row r="807" spans="1:12" ht="15" hidden="1" customHeight="1">
      <c r="A807" s="149" t="s">
        <v>489</v>
      </c>
      <c r="B807" s="150" t="s">
        <v>490</v>
      </c>
      <c r="C807" s="171">
        <v>103</v>
      </c>
      <c r="D807" s="155" t="s">
        <v>328</v>
      </c>
      <c r="E807" s="155" t="s">
        <v>340</v>
      </c>
      <c r="F807" s="172">
        <v>41590</v>
      </c>
      <c r="G807" s="156" t="s">
        <v>172</v>
      </c>
      <c r="H807" s="157" t="s">
        <v>24</v>
      </c>
      <c r="I807" s="173">
        <v>242053.34</v>
      </c>
      <c r="J807" s="174">
        <v>1</v>
      </c>
      <c r="K807" s="175">
        <f>MONTH(Tabela1[[#This Row],[Data da Venda]])</f>
        <v>11</v>
      </c>
      <c r="L807" s="175">
        <f>YEAR(Tabela1[[#This Row],[Data da Venda]])</f>
        <v>2013</v>
      </c>
    </row>
    <row r="808" spans="1:12" ht="15" hidden="1" customHeight="1">
      <c r="A808" s="149" t="s">
        <v>489</v>
      </c>
      <c r="B808" s="150" t="s">
        <v>490</v>
      </c>
      <c r="C808" s="171">
        <v>213</v>
      </c>
      <c r="D808" s="155" t="s">
        <v>328</v>
      </c>
      <c r="E808" s="155" t="s">
        <v>340</v>
      </c>
      <c r="F808" s="172">
        <v>41590</v>
      </c>
      <c r="G808" s="156" t="s">
        <v>41</v>
      </c>
      <c r="H808" s="157" t="s">
        <v>27</v>
      </c>
      <c r="I808" s="173">
        <v>134718.06</v>
      </c>
      <c r="J808" s="174">
        <v>0.5</v>
      </c>
      <c r="K808" s="175">
        <f>MONTH(Tabela1[[#This Row],[Data da Venda]])</f>
        <v>11</v>
      </c>
      <c r="L808" s="175">
        <f>YEAR(Tabela1[[#This Row],[Data da Venda]])</f>
        <v>2013</v>
      </c>
    </row>
    <row r="809" spans="1:12" ht="15" hidden="1" customHeight="1">
      <c r="A809" s="149" t="s">
        <v>489</v>
      </c>
      <c r="B809" s="150" t="s">
        <v>490</v>
      </c>
      <c r="C809" s="171">
        <v>213</v>
      </c>
      <c r="D809" s="155" t="s">
        <v>328</v>
      </c>
      <c r="E809" s="155" t="s">
        <v>340</v>
      </c>
      <c r="F809" s="172">
        <v>41590</v>
      </c>
      <c r="G809" s="156" t="s">
        <v>42</v>
      </c>
      <c r="H809" s="157" t="s">
        <v>27</v>
      </c>
      <c r="I809" s="173">
        <v>134718.04999999999</v>
      </c>
      <c r="J809" s="174">
        <v>0.5</v>
      </c>
      <c r="K809" s="175">
        <f>MONTH(Tabela1[[#This Row],[Data da Venda]])</f>
        <v>11</v>
      </c>
      <c r="L809" s="175">
        <f>YEAR(Tabela1[[#This Row],[Data da Venda]])</f>
        <v>2013</v>
      </c>
    </row>
    <row r="810" spans="1:12" ht="15" hidden="1" customHeight="1">
      <c r="A810" s="149" t="s">
        <v>489</v>
      </c>
      <c r="B810" s="150" t="s">
        <v>490</v>
      </c>
      <c r="C810" s="171">
        <v>403</v>
      </c>
      <c r="D810" s="155" t="s">
        <v>329</v>
      </c>
      <c r="E810" s="155" t="s">
        <v>340</v>
      </c>
      <c r="F810" s="172">
        <v>41590</v>
      </c>
      <c r="G810" s="156" t="s">
        <v>464</v>
      </c>
      <c r="H810" s="157" t="s">
        <v>33</v>
      </c>
      <c r="I810" s="173">
        <v>243500.06</v>
      </c>
      <c r="J810" s="174">
        <v>1</v>
      </c>
      <c r="K810" s="175">
        <f>MONTH(Tabela1[[#This Row],[Data da Venda]])</f>
        <v>11</v>
      </c>
      <c r="L810" s="175">
        <f>YEAR(Tabela1[[#This Row],[Data da Venda]])</f>
        <v>2013</v>
      </c>
    </row>
    <row r="811" spans="1:12" ht="15" hidden="1" customHeight="1">
      <c r="A811" s="149" t="s">
        <v>489</v>
      </c>
      <c r="B811" s="150" t="s">
        <v>490</v>
      </c>
      <c r="C811" s="171">
        <v>314</v>
      </c>
      <c r="D811" s="155" t="s">
        <v>328</v>
      </c>
      <c r="E811" s="155" t="s">
        <v>340</v>
      </c>
      <c r="F811" s="172">
        <v>41590</v>
      </c>
      <c r="G811" s="156" t="s">
        <v>41</v>
      </c>
      <c r="H811" s="157" t="s">
        <v>27</v>
      </c>
      <c r="I811" s="173">
        <v>134718.06</v>
      </c>
      <c r="J811" s="174">
        <v>0.5</v>
      </c>
      <c r="K811" s="175">
        <f>MONTH(Tabela1[[#This Row],[Data da Venda]])</f>
        <v>11</v>
      </c>
      <c r="L811" s="175">
        <f>YEAR(Tabela1[[#This Row],[Data da Venda]])</f>
        <v>2013</v>
      </c>
    </row>
    <row r="812" spans="1:12" ht="15" hidden="1" customHeight="1">
      <c r="A812" s="149" t="s">
        <v>489</v>
      </c>
      <c r="B812" s="150" t="s">
        <v>490</v>
      </c>
      <c r="C812" s="171">
        <v>314</v>
      </c>
      <c r="D812" s="155" t="s">
        <v>328</v>
      </c>
      <c r="E812" s="155" t="s">
        <v>340</v>
      </c>
      <c r="F812" s="172">
        <v>41590</v>
      </c>
      <c r="G812" s="156" t="s">
        <v>42</v>
      </c>
      <c r="H812" s="157" t="s">
        <v>27</v>
      </c>
      <c r="I812" s="173">
        <v>134718.04999999999</v>
      </c>
      <c r="J812" s="174">
        <v>0.5</v>
      </c>
      <c r="K812" s="175">
        <f>MONTH(Tabela1[[#This Row],[Data da Venda]])</f>
        <v>11</v>
      </c>
      <c r="L812" s="175">
        <f>YEAR(Tabela1[[#This Row],[Data da Venda]])</f>
        <v>2013</v>
      </c>
    </row>
    <row r="813" spans="1:12" ht="15" hidden="1" customHeight="1">
      <c r="A813" s="149" t="s">
        <v>489</v>
      </c>
      <c r="B813" s="150" t="s">
        <v>490</v>
      </c>
      <c r="C813" s="171">
        <v>401</v>
      </c>
      <c r="D813" s="155" t="s">
        <v>329</v>
      </c>
      <c r="E813" s="155" t="s">
        <v>340</v>
      </c>
      <c r="F813" s="172">
        <v>41590</v>
      </c>
      <c r="G813" s="156" t="s">
        <v>464</v>
      </c>
      <c r="H813" s="157" t="s">
        <v>33</v>
      </c>
      <c r="I813" s="173">
        <v>249000.87</v>
      </c>
      <c r="J813" s="174">
        <v>1</v>
      </c>
      <c r="K813" s="175">
        <f>MONTH(Tabela1[[#This Row],[Data da Venda]])</f>
        <v>11</v>
      </c>
      <c r="L813" s="175">
        <f>YEAR(Tabela1[[#This Row],[Data da Venda]])</f>
        <v>2013</v>
      </c>
    </row>
    <row r="814" spans="1:12" ht="15" hidden="1" customHeight="1">
      <c r="A814" s="149" t="s">
        <v>489</v>
      </c>
      <c r="B814" s="150" t="s">
        <v>490</v>
      </c>
      <c r="C814" s="171">
        <v>504</v>
      </c>
      <c r="D814" s="155" t="s">
        <v>328</v>
      </c>
      <c r="E814" s="155" t="s">
        <v>340</v>
      </c>
      <c r="F814" s="172">
        <v>41590</v>
      </c>
      <c r="G814" s="156" t="s">
        <v>87</v>
      </c>
      <c r="H814" s="157" t="s">
        <v>26</v>
      </c>
      <c r="I814" s="173">
        <v>128191.14</v>
      </c>
      <c r="J814" s="174">
        <v>0.5</v>
      </c>
      <c r="K814" s="175">
        <f>MONTH(Tabela1[[#This Row],[Data da Venda]])</f>
        <v>11</v>
      </c>
      <c r="L814" s="175">
        <f>YEAR(Tabela1[[#This Row],[Data da Venda]])</f>
        <v>2013</v>
      </c>
    </row>
    <row r="815" spans="1:12" ht="15" hidden="1" customHeight="1">
      <c r="A815" s="149" t="s">
        <v>489</v>
      </c>
      <c r="B815" s="150" t="s">
        <v>490</v>
      </c>
      <c r="C815" s="171">
        <v>504</v>
      </c>
      <c r="D815" s="155" t="s">
        <v>328</v>
      </c>
      <c r="E815" s="155" t="s">
        <v>340</v>
      </c>
      <c r="F815" s="172">
        <v>41590</v>
      </c>
      <c r="G815" s="156" t="s">
        <v>104</v>
      </c>
      <c r="H815" s="157" t="s">
        <v>460</v>
      </c>
      <c r="I815" s="173">
        <v>128191.14</v>
      </c>
      <c r="J815" s="174">
        <v>0.5</v>
      </c>
      <c r="K815" s="175">
        <f>MONTH(Tabela1[[#This Row],[Data da Venda]])</f>
        <v>11</v>
      </c>
      <c r="L815" s="175">
        <f>YEAR(Tabela1[[#This Row],[Data da Venda]])</f>
        <v>2013</v>
      </c>
    </row>
    <row r="816" spans="1:12" ht="15" hidden="1" customHeight="1">
      <c r="A816" s="149" t="s">
        <v>489</v>
      </c>
      <c r="B816" s="150" t="s">
        <v>490</v>
      </c>
      <c r="C816" s="171">
        <v>506</v>
      </c>
      <c r="D816" s="155" t="s">
        <v>328</v>
      </c>
      <c r="E816" s="155" t="s">
        <v>340</v>
      </c>
      <c r="F816" s="172">
        <v>41590</v>
      </c>
      <c r="G816" s="156" t="s">
        <v>140</v>
      </c>
      <c r="H816" s="157" t="s">
        <v>460</v>
      </c>
      <c r="I816" s="173">
        <v>356978.37</v>
      </c>
      <c r="J816" s="174">
        <v>1</v>
      </c>
      <c r="K816" s="175">
        <f>MONTH(Tabela1[[#This Row],[Data da Venda]])</f>
        <v>11</v>
      </c>
      <c r="L816" s="175">
        <f>YEAR(Tabela1[[#This Row],[Data da Venda]])</f>
        <v>2013</v>
      </c>
    </row>
    <row r="817" spans="1:12" ht="15" hidden="1" customHeight="1">
      <c r="A817" s="149" t="s">
        <v>489</v>
      </c>
      <c r="B817" s="150" t="s">
        <v>490</v>
      </c>
      <c r="C817" s="171">
        <v>603</v>
      </c>
      <c r="D817" s="155" t="s">
        <v>328</v>
      </c>
      <c r="E817" s="155" t="s">
        <v>340</v>
      </c>
      <c r="F817" s="172">
        <v>41590</v>
      </c>
      <c r="G817" s="156" t="s">
        <v>492</v>
      </c>
      <c r="H817" s="157" t="s">
        <v>357</v>
      </c>
      <c r="I817" s="173">
        <v>259050</v>
      </c>
      <c r="J817" s="174">
        <v>1</v>
      </c>
      <c r="K817" s="175">
        <f>MONTH(Tabela1[[#This Row],[Data da Venda]])</f>
        <v>11</v>
      </c>
      <c r="L817" s="175">
        <f>YEAR(Tabela1[[#This Row],[Data da Venda]])</f>
        <v>2013</v>
      </c>
    </row>
    <row r="818" spans="1:12" ht="15" hidden="1" customHeight="1">
      <c r="A818" s="149" t="s">
        <v>489</v>
      </c>
      <c r="B818" s="150" t="s">
        <v>490</v>
      </c>
      <c r="C818" s="171">
        <v>609</v>
      </c>
      <c r="D818" s="155" t="s">
        <v>328</v>
      </c>
      <c r="E818" s="155" t="s">
        <v>340</v>
      </c>
      <c r="F818" s="172">
        <v>41590</v>
      </c>
      <c r="G818" s="156" t="s">
        <v>160</v>
      </c>
      <c r="H818" s="157" t="s">
        <v>23</v>
      </c>
      <c r="I818" s="173">
        <v>262083.88</v>
      </c>
      <c r="J818" s="174">
        <v>1</v>
      </c>
      <c r="K818" s="175">
        <f>MONTH(Tabela1[[#This Row],[Data da Venda]])</f>
        <v>11</v>
      </c>
      <c r="L818" s="175">
        <f>YEAR(Tabela1[[#This Row],[Data da Venda]])</f>
        <v>2013</v>
      </c>
    </row>
    <row r="819" spans="1:12" ht="15" hidden="1" customHeight="1">
      <c r="A819" s="149" t="s">
        <v>489</v>
      </c>
      <c r="B819" s="150" t="s">
        <v>490</v>
      </c>
      <c r="C819" s="171">
        <v>613</v>
      </c>
      <c r="D819" s="155" t="s">
        <v>328</v>
      </c>
      <c r="E819" s="155" t="s">
        <v>340</v>
      </c>
      <c r="F819" s="172">
        <v>41590</v>
      </c>
      <c r="G819" s="156" t="s">
        <v>160</v>
      </c>
      <c r="H819" s="157" t="s">
        <v>23</v>
      </c>
      <c r="I819" s="173">
        <v>262083.88</v>
      </c>
      <c r="J819" s="174">
        <v>1</v>
      </c>
      <c r="K819" s="175">
        <f>MONTH(Tabela1[[#This Row],[Data da Venda]])</f>
        <v>11</v>
      </c>
      <c r="L819" s="175">
        <f>YEAR(Tabela1[[#This Row],[Data da Venda]])</f>
        <v>2013</v>
      </c>
    </row>
    <row r="820" spans="1:12" ht="15" hidden="1" customHeight="1">
      <c r="A820" s="149" t="s">
        <v>489</v>
      </c>
      <c r="B820" s="150" t="s">
        <v>490</v>
      </c>
      <c r="C820" s="171">
        <v>1011</v>
      </c>
      <c r="D820" s="155" t="s">
        <v>329</v>
      </c>
      <c r="E820" s="155" t="s">
        <v>340</v>
      </c>
      <c r="F820" s="172">
        <v>41590</v>
      </c>
      <c r="G820" s="156" t="s">
        <v>337</v>
      </c>
      <c r="H820" s="157" t="s">
        <v>33</v>
      </c>
      <c r="I820" s="173">
        <v>400495</v>
      </c>
      <c r="J820" s="174">
        <v>1</v>
      </c>
      <c r="K820" s="175">
        <f>MONTH(Tabela1[[#This Row],[Data da Venda]])</f>
        <v>11</v>
      </c>
      <c r="L820" s="175">
        <f>YEAR(Tabela1[[#This Row],[Data da Venda]])</f>
        <v>2013</v>
      </c>
    </row>
    <row r="821" spans="1:12" ht="15" hidden="1" customHeight="1">
      <c r="A821" s="185" t="s">
        <v>53</v>
      </c>
      <c r="B821" s="150" t="s">
        <v>414</v>
      </c>
      <c r="C821" s="187">
        <v>25</v>
      </c>
      <c r="D821" s="187" t="s">
        <v>328</v>
      </c>
      <c r="E821" s="187" t="s">
        <v>339</v>
      </c>
      <c r="F821" s="188">
        <v>41591</v>
      </c>
      <c r="G821" s="188" t="s">
        <v>473</v>
      </c>
      <c r="H821" s="189" t="s">
        <v>27</v>
      </c>
      <c r="I821" s="189">
        <v>515800</v>
      </c>
      <c r="J821" s="190">
        <v>1</v>
      </c>
      <c r="K821" s="191">
        <f>MONTH(Tabela1[[#This Row],[Data da Venda]])</f>
        <v>11</v>
      </c>
      <c r="L821" s="191">
        <f>YEAR(Tabela1[[#This Row],[Data da Venda]])</f>
        <v>2013</v>
      </c>
    </row>
    <row r="822" spans="1:12" ht="15" hidden="1" customHeight="1">
      <c r="A822" s="149" t="s">
        <v>53</v>
      </c>
      <c r="B822" s="186" t="s">
        <v>414</v>
      </c>
      <c r="C822" s="187">
        <v>122</v>
      </c>
      <c r="D822" s="187" t="s">
        <v>328</v>
      </c>
      <c r="E822" s="187" t="s">
        <v>339</v>
      </c>
      <c r="F822" s="188">
        <v>41591</v>
      </c>
      <c r="G822" s="188" t="s">
        <v>36</v>
      </c>
      <c r="H822" s="189" t="s">
        <v>24</v>
      </c>
      <c r="I822" s="189">
        <v>703799.9</v>
      </c>
      <c r="J822" s="190">
        <v>1</v>
      </c>
      <c r="K822" s="191">
        <f>MONTH(Tabela1[[#This Row],[Data da Venda]])</f>
        <v>11</v>
      </c>
      <c r="L822" s="191">
        <f>YEAR(Tabela1[[#This Row],[Data da Venda]])</f>
        <v>2013</v>
      </c>
    </row>
    <row r="823" spans="1:12" ht="15" hidden="1" customHeight="1">
      <c r="A823" s="149" t="s">
        <v>489</v>
      </c>
      <c r="B823" s="150" t="s">
        <v>490</v>
      </c>
      <c r="C823" s="171">
        <v>312</v>
      </c>
      <c r="D823" s="155" t="s">
        <v>328</v>
      </c>
      <c r="E823" s="155" t="s">
        <v>340</v>
      </c>
      <c r="F823" s="172">
        <v>41591</v>
      </c>
      <c r="G823" s="156" t="s">
        <v>41</v>
      </c>
      <c r="H823" s="157" t="s">
        <v>27</v>
      </c>
      <c r="I823" s="173">
        <v>111091.55</v>
      </c>
      <c r="J823" s="174">
        <v>0.5</v>
      </c>
      <c r="K823" s="175">
        <f>MONTH(Tabela1[[#This Row],[Data da Venda]])</f>
        <v>11</v>
      </c>
      <c r="L823" s="175">
        <f>YEAR(Tabela1[[#This Row],[Data da Venda]])</f>
        <v>2013</v>
      </c>
    </row>
    <row r="824" spans="1:12" ht="15" hidden="1" customHeight="1">
      <c r="A824" s="149" t="s">
        <v>489</v>
      </c>
      <c r="B824" s="150" t="s">
        <v>490</v>
      </c>
      <c r="C824" s="171">
        <v>312</v>
      </c>
      <c r="D824" s="155" t="s">
        <v>328</v>
      </c>
      <c r="E824" s="155" t="s">
        <v>340</v>
      </c>
      <c r="F824" s="172">
        <v>41591</v>
      </c>
      <c r="G824" s="156" t="s">
        <v>42</v>
      </c>
      <c r="H824" s="157" t="s">
        <v>27</v>
      </c>
      <c r="I824" s="173">
        <v>111091.56</v>
      </c>
      <c r="J824" s="174">
        <v>0.5</v>
      </c>
      <c r="K824" s="175">
        <f>MONTH(Tabela1[[#This Row],[Data da Venda]])</f>
        <v>11</v>
      </c>
      <c r="L824" s="175">
        <f>YEAR(Tabela1[[#This Row],[Data da Venda]])</f>
        <v>2013</v>
      </c>
    </row>
    <row r="825" spans="1:12" ht="15" hidden="1" customHeight="1">
      <c r="A825" s="149" t="s">
        <v>489</v>
      </c>
      <c r="B825" s="150" t="s">
        <v>490</v>
      </c>
      <c r="C825" s="171">
        <v>318</v>
      </c>
      <c r="D825" s="155" t="s">
        <v>328</v>
      </c>
      <c r="E825" s="155" t="s">
        <v>340</v>
      </c>
      <c r="F825" s="172">
        <v>41591</v>
      </c>
      <c r="G825" s="156" t="s">
        <v>41</v>
      </c>
      <c r="H825" s="157" t="s">
        <v>27</v>
      </c>
      <c r="I825" s="173">
        <v>104682.61</v>
      </c>
      <c r="J825" s="174">
        <v>0.5</v>
      </c>
      <c r="K825" s="175">
        <f>MONTH(Tabela1[[#This Row],[Data da Venda]])</f>
        <v>11</v>
      </c>
      <c r="L825" s="175">
        <f>YEAR(Tabela1[[#This Row],[Data da Venda]])</f>
        <v>2013</v>
      </c>
    </row>
    <row r="826" spans="1:12" ht="15" hidden="1" customHeight="1">
      <c r="A826" s="149" t="s">
        <v>489</v>
      </c>
      <c r="B826" s="150" t="s">
        <v>490</v>
      </c>
      <c r="C826" s="171">
        <v>318</v>
      </c>
      <c r="D826" s="155" t="s">
        <v>328</v>
      </c>
      <c r="E826" s="155" t="s">
        <v>340</v>
      </c>
      <c r="F826" s="172">
        <v>41591</v>
      </c>
      <c r="G826" s="156" t="s">
        <v>42</v>
      </c>
      <c r="H826" s="157" t="s">
        <v>27</v>
      </c>
      <c r="I826" s="173">
        <v>104682.6</v>
      </c>
      <c r="J826" s="174">
        <v>0.5</v>
      </c>
      <c r="K826" s="175">
        <f>MONTH(Tabela1[[#This Row],[Data da Venda]])</f>
        <v>11</v>
      </c>
      <c r="L826" s="175">
        <f>YEAR(Tabela1[[#This Row],[Data da Venda]])</f>
        <v>2013</v>
      </c>
    </row>
    <row r="827" spans="1:12" ht="15" hidden="1" customHeight="1">
      <c r="A827" s="149" t="s">
        <v>489</v>
      </c>
      <c r="B827" s="150" t="s">
        <v>490</v>
      </c>
      <c r="C827" s="171">
        <v>411</v>
      </c>
      <c r="D827" s="155" t="s">
        <v>328</v>
      </c>
      <c r="E827" s="155" t="s">
        <v>340</v>
      </c>
      <c r="F827" s="172">
        <v>41591</v>
      </c>
      <c r="G827" s="156" t="s">
        <v>160</v>
      </c>
      <c r="H827" s="157" t="s">
        <v>23</v>
      </c>
      <c r="I827" s="173">
        <v>195685.35</v>
      </c>
      <c r="J827" s="174">
        <v>0.5</v>
      </c>
      <c r="K827" s="175">
        <f>MONTH(Tabela1[[#This Row],[Data da Venda]])</f>
        <v>11</v>
      </c>
      <c r="L827" s="175">
        <f>YEAR(Tabela1[[#This Row],[Data da Venda]])</f>
        <v>2013</v>
      </c>
    </row>
    <row r="828" spans="1:12" ht="15" hidden="1" customHeight="1">
      <c r="A828" s="149" t="s">
        <v>489</v>
      </c>
      <c r="B828" s="150" t="s">
        <v>490</v>
      </c>
      <c r="C828" s="171">
        <v>417</v>
      </c>
      <c r="D828" s="155" t="s">
        <v>328</v>
      </c>
      <c r="E828" s="155" t="s">
        <v>340</v>
      </c>
      <c r="F828" s="172">
        <v>41591</v>
      </c>
      <c r="G828" s="156" t="s">
        <v>496</v>
      </c>
      <c r="H828" s="157" t="s">
        <v>357</v>
      </c>
      <c r="I828" s="173">
        <v>242900</v>
      </c>
      <c r="J828" s="174">
        <v>1</v>
      </c>
      <c r="K828" s="175">
        <f>MONTH(Tabela1[[#This Row],[Data da Venda]])</f>
        <v>11</v>
      </c>
      <c r="L828" s="175">
        <f>YEAR(Tabela1[[#This Row],[Data da Venda]])</f>
        <v>2013</v>
      </c>
    </row>
    <row r="829" spans="1:12" ht="15" hidden="1" customHeight="1">
      <c r="A829" s="149" t="s">
        <v>489</v>
      </c>
      <c r="B829" s="150" t="s">
        <v>490</v>
      </c>
      <c r="C829" s="171">
        <v>502</v>
      </c>
      <c r="D829" s="155" t="s">
        <v>328</v>
      </c>
      <c r="E829" s="155" t="s">
        <v>340</v>
      </c>
      <c r="F829" s="172">
        <v>41591</v>
      </c>
      <c r="G829" s="156" t="s">
        <v>39</v>
      </c>
      <c r="H829" s="157" t="s">
        <v>27</v>
      </c>
      <c r="I829" s="173">
        <v>125349.48</v>
      </c>
      <c r="J829" s="174">
        <v>0.5</v>
      </c>
      <c r="K829" s="175">
        <f>MONTH(Tabela1[[#This Row],[Data da Venda]])</f>
        <v>11</v>
      </c>
      <c r="L829" s="175">
        <f>YEAR(Tabela1[[#This Row],[Data da Venda]])</f>
        <v>2013</v>
      </c>
    </row>
    <row r="830" spans="1:12" ht="15" hidden="1" customHeight="1">
      <c r="A830" s="149" t="s">
        <v>489</v>
      </c>
      <c r="B830" s="150" t="s">
        <v>490</v>
      </c>
      <c r="C830" s="171">
        <v>502</v>
      </c>
      <c r="D830" s="155" t="s">
        <v>328</v>
      </c>
      <c r="E830" s="155" t="s">
        <v>340</v>
      </c>
      <c r="F830" s="172">
        <v>41591</v>
      </c>
      <c r="G830" s="156" t="s">
        <v>42</v>
      </c>
      <c r="H830" s="157" t="s">
        <v>27</v>
      </c>
      <c r="I830" s="173">
        <v>125349.48</v>
      </c>
      <c r="J830" s="174">
        <v>0.5</v>
      </c>
      <c r="K830" s="175">
        <f>MONTH(Tabela1[[#This Row],[Data da Venda]])</f>
        <v>11</v>
      </c>
      <c r="L830" s="175">
        <f>YEAR(Tabela1[[#This Row],[Data da Venda]])</f>
        <v>2013</v>
      </c>
    </row>
    <row r="831" spans="1:12" ht="15" hidden="1" customHeight="1">
      <c r="A831" s="149" t="s">
        <v>489</v>
      </c>
      <c r="B831" s="150" t="s">
        <v>490</v>
      </c>
      <c r="C831" s="171">
        <v>411</v>
      </c>
      <c r="D831" s="155" t="s">
        <v>328</v>
      </c>
      <c r="E831" s="155" t="s">
        <v>340</v>
      </c>
      <c r="F831" s="172">
        <v>41591</v>
      </c>
      <c r="G831" s="156" t="s">
        <v>197</v>
      </c>
      <c r="H831" s="157" t="s">
        <v>23</v>
      </c>
      <c r="I831" s="173">
        <v>195685.36</v>
      </c>
      <c r="J831" s="174">
        <v>0.5</v>
      </c>
      <c r="K831" s="175">
        <f>MONTH(Tabela1[[#This Row],[Data da Venda]])</f>
        <v>11</v>
      </c>
      <c r="L831" s="175">
        <f>YEAR(Tabela1[[#This Row],[Data da Venda]])</f>
        <v>2013</v>
      </c>
    </row>
    <row r="832" spans="1:12" ht="15" hidden="1" customHeight="1">
      <c r="A832" s="149" t="s">
        <v>489</v>
      </c>
      <c r="B832" s="150" t="s">
        <v>490</v>
      </c>
      <c r="C832" s="187">
        <v>518</v>
      </c>
      <c r="D832" s="187" t="s">
        <v>328</v>
      </c>
      <c r="E832" s="187" t="s">
        <v>340</v>
      </c>
      <c r="F832" s="188">
        <v>41591</v>
      </c>
      <c r="G832" s="188" t="s">
        <v>37</v>
      </c>
      <c r="H832" s="189" t="s">
        <v>61</v>
      </c>
      <c r="I832" s="189">
        <v>128727.32</v>
      </c>
      <c r="J832" s="190">
        <v>0.5</v>
      </c>
      <c r="K832" s="191">
        <f>MONTH(Tabela1[[#This Row],[Data da Venda]])</f>
        <v>11</v>
      </c>
      <c r="L832" s="191">
        <f>YEAR(Tabela1[[#This Row],[Data da Venda]])</f>
        <v>2013</v>
      </c>
    </row>
    <row r="833" spans="1:12" ht="15" hidden="1" customHeight="1">
      <c r="A833" s="149" t="s">
        <v>489</v>
      </c>
      <c r="B833" s="150" t="s">
        <v>490</v>
      </c>
      <c r="C833" s="187">
        <v>518</v>
      </c>
      <c r="D833" s="187" t="s">
        <v>328</v>
      </c>
      <c r="E833" s="187" t="s">
        <v>340</v>
      </c>
      <c r="F833" s="188">
        <v>41591</v>
      </c>
      <c r="G833" s="156" t="s">
        <v>494</v>
      </c>
      <c r="H833" s="189" t="s">
        <v>61</v>
      </c>
      <c r="I833" s="189">
        <v>128727.32</v>
      </c>
      <c r="J833" s="190">
        <v>0.5</v>
      </c>
      <c r="K833" s="191">
        <f>MONTH(Tabela1[[#This Row],[Data da Venda]])</f>
        <v>11</v>
      </c>
      <c r="L833" s="191">
        <f>YEAR(Tabela1[[#This Row],[Data da Venda]])</f>
        <v>2013</v>
      </c>
    </row>
    <row r="834" spans="1:12" ht="15" hidden="1" customHeight="1">
      <c r="A834" s="149" t="s">
        <v>489</v>
      </c>
      <c r="B834" s="150" t="s">
        <v>490</v>
      </c>
      <c r="C834" s="187">
        <v>601</v>
      </c>
      <c r="D834" s="187" t="s">
        <v>328</v>
      </c>
      <c r="E834" s="187" t="s">
        <v>340</v>
      </c>
      <c r="F834" s="188">
        <v>41591</v>
      </c>
      <c r="G834" s="188" t="s">
        <v>474</v>
      </c>
      <c r="H834" s="189" t="s">
        <v>61</v>
      </c>
      <c r="I834" s="189">
        <v>206800</v>
      </c>
      <c r="J834" s="190">
        <v>1</v>
      </c>
      <c r="K834" s="191">
        <f>MONTH(Tabela1[[#This Row],[Data da Venda]])</f>
        <v>11</v>
      </c>
      <c r="L834" s="191">
        <f>YEAR(Tabela1[[#This Row],[Data da Venda]])</f>
        <v>2013</v>
      </c>
    </row>
    <row r="835" spans="1:12" ht="15" hidden="1" customHeight="1">
      <c r="A835" s="149" t="s">
        <v>489</v>
      </c>
      <c r="B835" s="150" t="s">
        <v>490</v>
      </c>
      <c r="C835" s="171">
        <v>516</v>
      </c>
      <c r="D835" s="155" t="s">
        <v>328</v>
      </c>
      <c r="E835" s="155" t="s">
        <v>340</v>
      </c>
      <c r="F835" s="172">
        <v>41591</v>
      </c>
      <c r="G835" s="156" t="s">
        <v>160</v>
      </c>
      <c r="H835" s="157" t="s">
        <v>23</v>
      </c>
      <c r="I835" s="173">
        <v>172893.14</v>
      </c>
      <c r="J835" s="174">
        <v>0.5</v>
      </c>
      <c r="K835" s="175">
        <f>MONTH(Tabela1[[#This Row],[Data da Venda]])</f>
        <v>11</v>
      </c>
      <c r="L835" s="175">
        <f>YEAR(Tabela1[[#This Row],[Data da Venda]])</f>
        <v>2013</v>
      </c>
    </row>
    <row r="836" spans="1:12" ht="15" hidden="1" customHeight="1">
      <c r="A836" s="149" t="s">
        <v>489</v>
      </c>
      <c r="B836" s="150" t="s">
        <v>490</v>
      </c>
      <c r="C836" s="171">
        <v>516</v>
      </c>
      <c r="D836" s="155" t="s">
        <v>328</v>
      </c>
      <c r="E836" s="155" t="s">
        <v>340</v>
      </c>
      <c r="F836" s="172">
        <v>41591</v>
      </c>
      <c r="G836" s="156" t="s">
        <v>177</v>
      </c>
      <c r="H836" s="157" t="s">
        <v>23</v>
      </c>
      <c r="I836" s="173">
        <v>172893.14</v>
      </c>
      <c r="J836" s="174">
        <v>0.5</v>
      </c>
      <c r="K836" s="175">
        <f>MONTH(Tabela1[[#This Row],[Data da Venda]])</f>
        <v>11</v>
      </c>
      <c r="L836" s="175">
        <f>YEAR(Tabela1[[#This Row],[Data da Venda]])</f>
        <v>2013</v>
      </c>
    </row>
    <row r="837" spans="1:12" ht="15" hidden="1" customHeight="1">
      <c r="A837" s="149" t="s">
        <v>489</v>
      </c>
      <c r="B837" s="150" t="s">
        <v>490</v>
      </c>
      <c r="C837" s="187">
        <v>604</v>
      </c>
      <c r="D837" s="187" t="s">
        <v>328</v>
      </c>
      <c r="E837" s="187" t="s">
        <v>340</v>
      </c>
      <c r="F837" s="188">
        <v>41591</v>
      </c>
      <c r="G837" s="188" t="s">
        <v>177</v>
      </c>
      <c r="H837" s="189" t="s">
        <v>23</v>
      </c>
      <c r="I837" s="189">
        <v>130591.43</v>
      </c>
      <c r="J837" s="190">
        <v>0.5</v>
      </c>
      <c r="K837" s="191">
        <f>MONTH(Tabela1[[#This Row],[Data da Venda]])</f>
        <v>11</v>
      </c>
      <c r="L837" s="191">
        <f>YEAR(Tabela1[[#This Row],[Data da Venda]])</f>
        <v>2013</v>
      </c>
    </row>
    <row r="838" spans="1:12" ht="15" hidden="1" customHeight="1">
      <c r="A838" s="149" t="s">
        <v>489</v>
      </c>
      <c r="B838" s="150" t="s">
        <v>490</v>
      </c>
      <c r="C838" s="187">
        <v>604</v>
      </c>
      <c r="D838" s="187" t="s">
        <v>328</v>
      </c>
      <c r="E838" s="187" t="s">
        <v>340</v>
      </c>
      <c r="F838" s="188">
        <v>41591</v>
      </c>
      <c r="G838" s="188" t="s">
        <v>377</v>
      </c>
      <c r="H838" s="189" t="s">
        <v>23</v>
      </c>
      <c r="I838" s="189">
        <v>130591.43</v>
      </c>
      <c r="J838" s="190">
        <v>0.5</v>
      </c>
      <c r="K838" s="191">
        <f>MONTH(Tabela1[[#This Row],[Data da Venda]])</f>
        <v>11</v>
      </c>
      <c r="L838" s="191">
        <f>YEAR(Tabela1[[#This Row],[Data da Venda]])</f>
        <v>2013</v>
      </c>
    </row>
    <row r="839" spans="1:12" ht="15" hidden="1" customHeight="1">
      <c r="A839" s="149" t="s">
        <v>489</v>
      </c>
      <c r="B839" s="150" t="s">
        <v>490</v>
      </c>
      <c r="C839" s="187">
        <v>605</v>
      </c>
      <c r="D839" s="187" t="s">
        <v>328</v>
      </c>
      <c r="E839" s="187" t="s">
        <v>340</v>
      </c>
      <c r="F839" s="188">
        <v>41591</v>
      </c>
      <c r="G839" s="188" t="s">
        <v>160</v>
      </c>
      <c r="H839" s="189" t="s">
        <v>23</v>
      </c>
      <c r="I839" s="189">
        <v>173630.2</v>
      </c>
      <c r="J839" s="190">
        <v>0.5</v>
      </c>
      <c r="K839" s="191">
        <f>MONTH(Tabela1[[#This Row],[Data da Venda]])</f>
        <v>11</v>
      </c>
      <c r="L839" s="191">
        <f>YEAR(Tabela1[[#This Row],[Data da Venda]])</f>
        <v>2013</v>
      </c>
    </row>
    <row r="840" spans="1:12" ht="15" hidden="1" customHeight="1">
      <c r="A840" s="149" t="s">
        <v>489</v>
      </c>
      <c r="B840" s="150" t="s">
        <v>490</v>
      </c>
      <c r="C840" s="187">
        <v>605</v>
      </c>
      <c r="D840" s="187" t="s">
        <v>328</v>
      </c>
      <c r="E840" s="187" t="s">
        <v>340</v>
      </c>
      <c r="F840" s="188">
        <v>41591</v>
      </c>
      <c r="G840" s="188" t="s">
        <v>177</v>
      </c>
      <c r="H840" s="189" t="s">
        <v>23</v>
      </c>
      <c r="I840" s="189">
        <v>173630.2</v>
      </c>
      <c r="J840" s="190">
        <v>0.5</v>
      </c>
      <c r="K840" s="191">
        <f>MONTH(Tabela1[[#This Row],[Data da Venda]])</f>
        <v>11</v>
      </c>
      <c r="L840" s="191">
        <f>YEAR(Tabela1[[#This Row],[Data da Venda]])</f>
        <v>2013</v>
      </c>
    </row>
    <row r="841" spans="1:12" ht="15" hidden="1" customHeight="1">
      <c r="A841" s="149" t="s">
        <v>489</v>
      </c>
      <c r="B841" s="150" t="s">
        <v>490</v>
      </c>
      <c r="C841" s="187">
        <v>607</v>
      </c>
      <c r="D841" s="187" t="s">
        <v>329</v>
      </c>
      <c r="E841" s="187" t="s">
        <v>340</v>
      </c>
      <c r="F841" s="188">
        <v>41591</v>
      </c>
      <c r="G841" s="156" t="s">
        <v>463</v>
      </c>
      <c r="H841" s="189" t="s">
        <v>33</v>
      </c>
      <c r="I841" s="189">
        <v>274322.37</v>
      </c>
      <c r="J841" s="190">
        <v>1</v>
      </c>
      <c r="K841" s="191">
        <f>MONTH(Tabela1[[#This Row],[Data da Venda]])</f>
        <v>11</v>
      </c>
      <c r="L841" s="191">
        <f>YEAR(Tabela1[[#This Row],[Data da Venda]])</f>
        <v>2013</v>
      </c>
    </row>
    <row r="842" spans="1:12" ht="15" hidden="1" customHeight="1">
      <c r="A842" s="149" t="s">
        <v>489</v>
      </c>
      <c r="B842" s="150" t="s">
        <v>490</v>
      </c>
      <c r="C842" s="187">
        <v>619</v>
      </c>
      <c r="D842" s="187" t="s">
        <v>328</v>
      </c>
      <c r="E842" s="187" t="s">
        <v>340</v>
      </c>
      <c r="F842" s="188">
        <v>41591</v>
      </c>
      <c r="G842" s="188" t="s">
        <v>311</v>
      </c>
      <c r="H842" s="189" t="s">
        <v>61</v>
      </c>
      <c r="I842" s="189">
        <v>206800</v>
      </c>
      <c r="J842" s="190">
        <v>1</v>
      </c>
      <c r="K842" s="191">
        <f>MONTH(Tabela1[[#This Row],[Data da Venda]])</f>
        <v>11</v>
      </c>
      <c r="L842" s="191">
        <f>YEAR(Tabela1[[#This Row],[Data da Venda]])</f>
        <v>2013</v>
      </c>
    </row>
    <row r="843" spans="1:12" ht="15" hidden="1" customHeight="1">
      <c r="A843" s="149" t="s">
        <v>489</v>
      </c>
      <c r="B843" s="150" t="s">
        <v>490</v>
      </c>
      <c r="C843" s="187">
        <v>617</v>
      </c>
      <c r="D843" s="187" t="s">
        <v>328</v>
      </c>
      <c r="E843" s="187" t="s">
        <v>340</v>
      </c>
      <c r="F843" s="188">
        <v>41591</v>
      </c>
      <c r="G843" s="188" t="s">
        <v>17</v>
      </c>
      <c r="H843" s="189" t="s">
        <v>25</v>
      </c>
      <c r="I843" s="189">
        <v>259000</v>
      </c>
      <c r="J843" s="190">
        <v>1</v>
      </c>
      <c r="K843" s="191">
        <f>MONTH(Tabela1[[#This Row],[Data da Venda]])</f>
        <v>11</v>
      </c>
      <c r="L843" s="191">
        <f>YEAR(Tabela1[[#This Row],[Data da Venda]])</f>
        <v>2013</v>
      </c>
    </row>
    <row r="844" spans="1:12" ht="15" hidden="1" customHeight="1">
      <c r="A844" s="149" t="s">
        <v>489</v>
      </c>
      <c r="B844" s="150" t="s">
        <v>490</v>
      </c>
      <c r="C844" s="187">
        <v>715</v>
      </c>
      <c r="D844" s="187" t="s">
        <v>328</v>
      </c>
      <c r="E844" s="187" t="s">
        <v>340</v>
      </c>
      <c r="F844" s="188">
        <v>41591</v>
      </c>
      <c r="G844" s="188" t="s">
        <v>172</v>
      </c>
      <c r="H844" s="189" t="s">
        <v>24</v>
      </c>
      <c r="I844" s="189">
        <v>365442.26</v>
      </c>
      <c r="J844" s="190">
        <v>1</v>
      </c>
      <c r="K844" s="191">
        <f>MONTH(Tabela1[[#This Row],[Data da Venda]])</f>
        <v>11</v>
      </c>
      <c r="L844" s="191">
        <f>YEAR(Tabela1[[#This Row],[Data da Venda]])</f>
        <v>2013</v>
      </c>
    </row>
    <row r="845" spans="1:12" ht="15" hidden="1" customHeight="1">
      <c r="A845" s="149" t="s">
        <v>489</v>
      </c>
      <c r="B845" s="150" t="s">
        <v>490</v>
      </c>
      <c r="C845" s="187">
        <v>914</v>
      </c>
      <c r="D845" s="187" t="s">
        <v>328</v>
      </c>
      <c r="E845" s="187" t="s">
        <v>340</v>
      </c>
      <c r="F845" s="188">
        <v>41591</v>
      </c>
      <c r="G845" s="188" t="s">
        <v>494</v>
      </c>
      <c r="H845" s="189" t="s">
        <v>61</v>
      </c>
      <c r="I845" s="189">
        <f>277800/2</f>
        <v>138900</v>
      </c>
      <c r="J845" s="190">
        <v>0.5</v>
      </c>
      <c r="K845" s="191">
        <f>MONTH(Tabela1[[#This Row],[Data da Venda]])</f>
        <v>11</v>
      </c>
      <c r="L845" s="191">
        <f>YEAR(Tabela1[[#This Row],[Data da Venda]])</f>
        <v>2013</v>
      </c>
    </row>
    <row r="846" spans="1:12" ht="15" hidden="1" customHeight="1">
      <c r="A846" s="149" t="s">
        <v>489</v>
      </c>
      <c r="B846" s="150" t="s">
        <v>490</v>
      </c>
      <c r="C846" s="187">
        <v>914</v>
      </c>
      <c r="D846" s="187" t="s">
        <v>328</v>
      </c>
      <c r="E846" s="187" t="s">
        <v>340</v>
      </c>
      <c r="F846" s="188">
        <v>41591</v>
      </c>
      <c r="G846" s="188" t="s">
        <v>84</v>
      </c>
      <c r="H846" s="189" t="s">
        <v>61</v>
      </c>
      <c r="I846" s="189">
        <f>277800/2</f>
        <v>138900</v>
      </c>
      <c r="J846" s="190">
        <v>0.5</v>
      </c>
      <c r="K846" s="191">
        <f>MONTH(Tabela1[[#This Row],[Data da Venda]])</f>
        <v>11</v>
      </c>
      <c r="L846" s="191">
        <f>YEAR(Tabela1[[#This Row],[Data da Venda]])</f>
        <v>2013</v>
      </c>
    </row>
    <row r="847" spans="1:12" ht="15" hidden="1" customHeight="1">
      <c r="A847" s="149" t="s">
        <v>489</v>
      </c>
      <c r="B847" s="150" t="s">
        <v>490</v>
      </c>
      <c r="C847" s="187">
        <v>1003</v>
      </c>
      <c r="D847" s="187" t="s">
        <v>328</v>
      </c>
      <c r="E847" s="187" t="s">
        <v>340</v>
      </c>
      <c r="F847" s="188">
        <v>41591</v>
      </c>
      <c r="G847" s="188" t="s">
        <v>62</v>
      </c>
      <c r="H847" s="189" t="s">
        <v>25</v>
      </c>
      <c r="I847" s="189">
        <v>260582.55</v>
      </c>
      <c r="J847" s="190">
        <v>1</v>
      </c>
      <c r="K847" s="191">
        <f>MONTH(Tabela1[[#This Row],[Data da Venda]])</f>
        <v>11</v>
      </c>
      <c r="L847" s="191">
        <f>YEAR(Tabela1[[#This Row],[Data da Venda]])</f>
        <v>2013</v>
      </c>
    </row>
    <row r="848" spans="1:12" ht="15" hidden="1" customHeight="1">
      <c r="A848" s="149" t="s">
        <v>489</v>
      </c>
      <c r="B848" s="150" t="s">
        <v>490</v>
      </c>
      <c r="C848" s="187">
        <v>1001</v>
      </c>
      <c r="D848" s="187" t="s">
        <v>328</v>
      </c>
      <c r="E848" s="187" t="s">
        <v>340</v>
      </c>
      <c r="F848" s="188">
        <v>41591</v>
      </c>
      <c r="G848" s="188" t="s">
        <v>473</v>
      </c>
      <c r="H848" s="189" t="s">
        <v>27</v>
      </c>
      <c r="I848" s="189">
        <v>263000.32000000001</v>
      </c>
      <c r="J848" s="190">
        <v>1</v>
      </c>
      <c r="K848" s="191">
        <f>MONTH(Tabela1[[#This Row],[Data da Venda]])</f>
        <v>11</v>
      </c>
      <c r="L848" s="191">
        <f>YEAR(Tabela1[[#This Row],[Data da Venda]])</f>
        <v>2013</v>
      </c>
    </row>
    <row r="849" spans="1:12" ht="15" hidden="1" customHeight="1">
      <c r="A849" s="185" t="s">
        <v>489</v>
      </c>
      <c r="B849" s="186" t="s">
        <v>490</v>
      </c>
      <c r="C849" s="187">
        <v>1007</v>
      </c>
      <c r="D849" s="187" t="s">
        <v>328</v>
      </c>
      <c r="E849" s="187" t="s">
        <v>340</v>
      </c>
      <c r="F849" s="188">
        <v>41591</v>
      </c>
      <c r="G849" s="188" t="s">
        <v>47</v>
      </c>
      <c r="H849" s="189" t="s">
        <v>25</v>
      </c>
      <c r="I849" s="189">
        <v>274913.15999999997</v>
      </c>
      <c r="J849" s="190">
        <v>1</v>
      </c>
      <c r="K849" s="191">
        <f>MONTH(Tabela1[[#This Row],[Data da Venda]])</f>
        <v>11</v>
      </c>
      <c r="L849" s="191">
        <f>YEAR(Tabela1[[#This Row],[Data da Venda]])</f>
        <v>2013</v>
      </c>
    </row>
    <row r="850" spans="1:12" ht="15" hidden="1" customHeight="1">
      <c r="A850" s="185" t="s">
        <v>489</v>
      </c>
      <c r="B850" s="186" t="s">
        <v>490</v>
      </c>
      <c r="C850" s="187">
        <v>1009</v>
      </c>
      <c r="D850" s="187" t="s">
        <v>328</v>
      </c>
      <c r="E850" s="187" t="s">
        <v>340</v>
      </c>
      <c r="F850" s="188">
        <v>41591</v>
      </c>
      <c r="G850" s="188" t="s">
        <v>47</v>
      </c>
      <c r="H850" s="189" t="s">
        <v>25</v>
      </c>
      <c r="I850" s="189">
        <v>274913.15999999997</v>
      </c>
      <c r="J850" s="190">
        <v>1</v>
      </c>
      <c r="K850" s="191">
        <f>MONTH(Tabela1[[#This Row],[Data da Venda]])</f>
        <v>11</v>
      </c>
      <c r="L850" s="191">
        <f>YEAR(Tabela1[[#This Row],[Data da Venda]])</f>
        <v>2013</v>
      </c>
    </row>
    <row r="851" spans="1:12" ht="15" hidden="1" customHeight="1">
      <c r="A851" s="185" t="s">
        <v>489</v>
      </c>
      <c r="B851" s="186" t="s">
        <v>490</v>
      </c>
      <c r="C851" s="187">
        <v>1013</v>
      </c>
      <c r="D851" s="187" t="s">
        <v>328</v>
      </c>
      <c r="E851" s="187" t="s">
        <v>340</v>
      </c>
      <c r="F851" s="188">
        <v>41591</v>
      </c>
      <c r="G851" s="188" t="s">
        <v>104</v>
      </c>
      <c r="H851" s="189" t="s">
        <v>26</v>
      </c>
      <c r="I851" s="189">
        <f>274000/2</f>
        <v>137000</v>
      </c>
      <c r="J851" s="190">
        <v>0.5</v>
      </c>
      <c r="K851" s="191">
        <f>MONTH(Tabela1[[#This Row],[Data da Venda]])</f>
        <v>11</v>
      </c>
      <c r="L851" s="191">
        <f>YEAR(Tabela1[[#This Row],[Data da Venda]])</f>
        <v>2013</v>
      </c>
    </row>
    <row r="852" spans="1:12" ht="15" hidden="1" customHeight="1">
      <c r="A852" s="149" t="s">
        <v>489</v>
      </c>
      <c r="B852" s="150" t="s">
        <v>490</v>
      </c>
      <c r="C852" s="187">
        <v>1013</v>
      </c>
      <c r="D852" s="187" t="s">
        <v>328</v>
      </c>
      <c r="E852" s="187" t="s">
        <v>340</v>
      </c>
      <c r="F852" s="188">
        <v>41591</v>
      </c>
      <c r="G852" s="188" t="s">
        <v>87</v>
      </c>
      <c r="H852" s="189" t="s">
        <v>460</v>
      </c>
      <c r="I852" s="189">
        <v>137000</v>
      </c>
      <c r="J852" s="190">
        <v>0.5</v>
      </c>
      <c r="K852" s="191">
        <f>MONTH(Tabela1[[#This Row],[Data da Venda]])</f>
        <v>11</v>
      </c>
      <c r="L852" s="191">
        <f>YEAR(Tabela1[[#This Row],[Data da Venda]])</f>
        <v>2013</v>
      </c>
    </row>
    <row r="853" spans="1:12" ht="15" hidden="1" customHeight="1">
      <c r="A853" s="149" t="s">
        <v>489</v>
      </c>
      <c r="B853" s="150" t="s">
        <v>490</v>
      </c>
      <c r="C853" s="187">
        <v>1015</v>
      </c>
      <c r="D853" s="187" t="s">
        <v>328</v>
      </c>
      <c r="E853" s="187" t="s">
        <v>340</v>
      </c>
      <c r="F853" s="188">
        <v>41591</v>
      </c>
      <c r="G853" s="188" t="s">
        <v>494</v>
      </c>
      <c r="H853" s="189" t="s">
        <v>61</v>
      </c>
      <c r="I853" s="189">
        <v>184145</v>
      </c>
      <c r="J853" s="190">
        <v>0.5</v>
      </c>
      <c r="K853" s="191">
        <f>MONTH(Tabela1[[#This Row],[Data da Venda]])</f>
        <v>11</v>
      </c>
      <c r="L853" s="191">
        <f>YEAR(Tabela1[[#This Row],[Data da Venda]])</f>
        <v>2013</v>
      </c>
    </row>
    <row r="854" spans="1:12" ht="15" hidden="1" customHeight="1">
      <c r="A854" s="149" t="s">
        <v>489</v>
      </c>
      <c r="B854" s="150" t="s">
        <v>490</v>
      </c>
      <c r="C854" s="187">
        <v>1015</v>
      </c>
      <c r="D854" s="187" t="s">
        <v>328</v>
      </c>
      <c r="E854" s="187" t="s">
        <v>340</v>
      </c>
      <c r="F854" s="188">
        <v>41591</v>
      </c>
      <c r="G854" s="188" t="s">
        <v>84</v>
      </c>
      <c r="H854" s="189" t="s">
        <v>61</v>
      </c>
      <c r="I854" s="189">
        <v>184145</v>
      </c>
      <c r="J854" s="190">
        <v>0.5</v>
      </c>
      <c r="K854" s="191">
        <f>MONTH(Tabela1[[#This Row],[Data da Venda]])</f>
        <v>11</v>
      </c>
      <c r="L854" s="191">
        <f>YEAR(Tabela1[[#This Row],[Data da Venda]])</f>
        <v>2013</v>
      </c>
    </row>
    <row r="855" spans="1:12" ht="15" hidden="1" customHeight="1">
      <c r="A855" s="149" t="s">
        <v>489</v>
      </c>
      <c r="B855" s="150" t="s">
        <v>490</v>
      </c>
      <c r="C855" s="187">
        <v>1314</v>
      </c>
      <c r="D855" s="187" t="s">
        <v>328</v>
      </c>
      <c r="E855" s="187" t="s">
        <v>340</v>
      </c>
      <c r="F855" s="188">
        <v>41591</v>
      </c>
      <c r="G855" s="188" t="s">
        <v>84</v>
      </c>
      <c r="H855" s="189" t="s">
        <v>61</v>
      </c>
      <c r="I855" s="189">
        <v>138083.79</v>
      </c>
      <c r="J855" s="190">
        <v>0.5</v>
      </c>
      <c r="K855" s="191">
        <f>MONTH(Tabela1[[#This Row],[Data da Venda]])</f>
        <v>11</v>
      </c>
      <c r="L855" s="191">
        <f>YEAR(Tabela1[[#This Row],[Data da Venda]])</f>
        <v>2013</v>
      </c>
    </row>
    <row r="856" spans="1:12" ht="15" hidden="1" customHeight="1">
      <c r="A856" s="149" t="s">
        <v>489</v>
      </c>
      <c r="B856" s="150" t="s">
        <v>490</v>
      </c>
      <c r="C856" s="187">
        <v>1314</v>
      </c>
      <c r="D856" s="187" t="s">
        <v>328</v>
      </c>
      <c r="E856" s="187" t="s">
        <v>340</v>
      </c>
      <c r="F856" s="188">
        <v>41591</v>
      </c>
      <c r="G856" s="188" t="s">
        <v>494</v>
      </c>
      <c r="H856" s="189" t="s">
        <v>61</v>
      </c>
      <c r="I856" s="189">
        <v>138083.79</v>
      </c>
      <c r="J856" s="190">
        <v>0.5</v>
      </c>
      <c r="K856" s="191">
        <f>MONTH(Tabela1[[#This Row],[Data da Venda]])</f>
        <v>11</v>
      </c>
      <c r="L856" s="191">
        <f>YEAR(Tabela1[[#This Row],[Data da Venda]])</f>
        <v>2013</v>
      </c>
    </row>
    <row r="857" spans="1:12" ht="15" hidden="1" customHeight="1">
      <c r="A857" s="149" t="s">
        <v>489</v>
      </c>
      <c r="B857" s="150" t="s">
        <v>490</v>
      </c>
      <c r="C857" s="187">
        <v>1617</v>
      </c>
      <c r="D857" s="187" t="s">
        <v>328</v>
      </c>
      <c r="E857" s="187" t="s">
        <v>340</v>
      </c>
      <c r="F857" s="188">
        <v>41591</v>
      </c>
      <c r="G857" s="188" t="s">
        <v>309</v>
      </c>
      <c r="H857" s="189" t="s">
        <v>26</v>
      </c>
      <c r="I857" s="189">
        <v>272403</v>
      </c>
      <c r="J857" s="190">
        <v>1</v>
      </c>
      <c r="K857" s="191">
        <f>MONTH(Tabela1[[#This Row],[Data da Venda]])</f>
        <v>11</v>
      </c>
      <c r="L857" s="191">
        <f>YEAR(Tabela1[[#This Row],[Data da Venda]])</f>
        <v>2013</v>
      </c>
    </row>
    <row r="858" spans="1:12" ht="15" hidden="1" customHeight="1">
      <c r="A858" s="149" t="s">
        <v>489</v>
      </c>
      <c r="B858" s="150" t="s">
        <v>490</v>
      </c>
      <c r="C858" s="171">
        <v>304</v>
      </c>
      <c r="D858" s="155" t="s">
        <v>328</v>
      </c>
      <c r="E858" s="155" t="s">
        <v>340</v>
      </c>
      <c r="F858" s="172">
        <v>41592</v>
      </c>
      <c r="G858" s="156" t="s">
        <v>281</v>
      </c>
      <c r="H858" s="157" t="s">
        <v>460</v>
      </c>
      <c r="I858" s="173">
        <v>253892.09</v>
      </c>
      <c r="J858" s="174">
        <v>1</v>
      </c>
      <c r="K858" s="175">
        <f>MONTH(Tabela1[[#This Row],[Data da Venda]])</f>
        <v>11</v>
      </c>
      <c r="L858" s="175">
        <f>YEAR(Tabela1[[#This Row],[Data da Venda]])</f>
        <v>2013</v>
      </c>
    </row>
    <row r="859" spans="1:12" ht="15" hidden="1" customHeight="1">
      <c r="A859" s="149" t="s">
        <v>489</v>
      </c>
      <c r="B859" s="150" t="s">
        <v>490</v>
      </c>
      <c r="C859" s="171">
        <v>308</v>
      </c>
      <c r="D859" s="155" t="s">
        <v>328</v>
      </c>
      <c r="E859" s="155" t="s">
        <v>340</v>
      </c>
      <c r="F859" s="172">
        <v>41592</v>
      </c>
      <c r="G859" s="156" t="s">
        <v>367</v>
      </c>
      <c r="H859" s="157" t="s">
        <v>27</v>
      </c>
      <c r="I859" s="173">
        <v>259290.7</v>
      </c>
      <c r="J859" s="174">
        <v>1</v>
      </c>
      <c r="K859" s="175">
        <f>MONTH(Tabela1[[#This Row],[Data da Venda]])</f>
        <v>11</v>
      </c>
      <c r="L859" s="175">
        <f>YEAR(Tabela1[[#This Row],[Data da Venda]])</f>
        <v>2013</v>
      </c>
    </row>
    <row r="860" spans="1:12" ht="15" hidden="1" customHeight="1">
      <c r="A860" s="149" t="s">
        <v>489</v>
      </c>
      <c r="B860" s="150" t="s">
        <v>490</v>
      </c>
      <c r="C860" s="171">
        <v>413</v>
      </c>
      <c r="D860" s="155" t="s">
        <v>328</v>
      </c>
      <c r="E860" s="155" t="s">
        <v>340</v>
      </c>
      <c r="F860" s="172">
        <v>41592</v>
      </c>
      <c r="G860" s="156" t="s">
        <v>84</v>
      </c>
      <c r="H860" s="157" t="s">
        <v>61</v>
      </c>
      <c r="I860" s="173">
        <v>134702.6</v>
      </c>
      <c r="J860" s="174">
        <v>0.5</v>
      </c>
      <c r="K860" s="175">
        <f>MONTH(Tabela1[[#This Row],[Data da Venda]])</f>
        <v>11</v>
      </c>
      <c r="L860" s="175">
        <f>YEAR(Tabela1[[#This Row],[Data da Venda]])</f>
        <v>2013</v>
      </c>
    </row>
    <row r="861" spans="1:12" ht="15" hidden="1" customHeight="1">
      <c r="A861" s="149" t="s">
        <v>489</v>
      </c>
      <c r="B861" s="150" t="s">
        <v>490</v>
      </c>
      <c r="C861" s="171">
        <v>413</v>
      </c>
      <c r="D861" s="155" t="s">
        <v>328</v>
      </c>
      <c r="E861" s="155" t="s">
        <v>340</v>
      </c>
      <c r="F861" s="172">
        <v>41592</v>
      </c>
      <c r="G861" s="156" t="s">
        <v>494</v>
      </c>
      <c r="H861" s="157" t="s">
        <v>61</v>
      </c>
      <c r="I861" s="173">
        <v>134702.6</v>
      </c>
      <c r="J861" s="174">
        <v>0.5</v>
      </c>
      <c r="K861" s="175">
        <f>MONTH(Tabela1[[#This Row],[Data da Venda]])</f>
        <v>11</v>
      </c>
      <c r="L861" s="175">
        <f>YEAR(Tabela1[[#This Row],[Data da Venda]])</f>
        <v>2013</v>
      </c>
    </row>
    <row r="862" spans="1:12" ht="15" hidden="1" customHeight="1">
      <c r="A862" s="149" t="s">
        <v>489</v>
      </c>
      <c r="B862" s="150" t="s">
        <v>490</v>
      </c>
      <c r="C862" s="171">
        <v>514</v>
      </c>
      <c r="D862" s="155" t="s">
        <v>328</v>
      </c>
      <c r="E862" s="155" t="s">
        <v>340</v>
      </c>
      <c r="F862" s="172">
        <v>41592</v>
      </c>
      <c r="G862" s="156" t="s">
        <v>497</v>
      </c>
      <c r="H862" s="157" t="s">
        <v>24</v>
      </c>
      <c r="I862" s="173">
        <v>274322.26</v>
      </c>
      <c r="J862" s="174">
        <v>1</v>
      </c>
      <c r="K862" s="175">
        <f>MONTH(Tabela1[[#This Row],[Data da Venda]])</f>
        <v>11</v>
      </c>
      <c r="L862" s="175">
        <f>YEAR(Tabela1[[#This Row],[Data da Venda]])</f>
        <v>2013</v>
      </c>
    </row>
    <row r="863" spans="1:12" ht="15" hidden="1" customHeight="1">
      <c r="A863" s="149" t="s">
        <v>489</v>
      </c>
      <c r="B863" s="150" t="s">
        <v>490</v>
      </c>
      <c r="C863" s="187">
        <v>615</v>
      </c>
      <c r="D863" s="187" t="s">
        <v>328</v>
      </c>
      <c r="E863" s="187" t="s">
        <v>340</v>
      </c>
      <c r="F863" s="188">
        <v>41592</v>
      </c>
      <c r="G863" s="156" t="s">
        <v>514</v>
      </c>
      <c r="H863" s="189" t="s">
        <v>24</v>
      </c>
      <c r="I863" s="189">
        <v>366980</v>
      </c>
      <c r="J863" s="190">
        <v>1</v>
      </c>
      <c r="K863" s="191">
        <f>MONTH(Tabela1[[#This Row],[Data da Venda]])</f>
        <v>11</v>
      </c>
      <c r="L863" s="191">
        <f>YEAR(Tabela1[[#This Row],[Data da Venda]])</f>
        <v>2013</v>
      </c>
    </row>
    <row r="864" spans="1:12" ht="15" hidden="1" customHeight="1">
      <c r="A864" s="185" t="s">
        <v>489</v>
      </c>
      <c r="B864" s="186" t="s">
        <v>490</v>
      </c>
      <c r="C864" s="187">
        <v>719</v>
      </c>
      <c r="D864" s="187" t="s">
        <v>328</v>
      </c>
      <c r="E864" s="187" t="s">
        <v>340</v>
      </c>
      <c r="F864" s="188">
        <v>41592</v>
      </c>
      <c r="G864" s="188" t="s">
        <v>172</v>
      </c>
      <c r="H864" s="189" t="s">
        <v>24</v>
      </c>
      <c r="I864" s="189">
        <v>245290</v>
      </c>
      <c r="J864" s="190">
        <v>1</v>
      </c>
      <c r="K864" s="191">
        <f>MONTH(Tabela1[[#This Row],[Data da Venda]])</f>
        <v>11</v>
      </c>
      <c r="L864" s="191">
        <f>YEAR(Tabela1[[#This Row],[Data da Venda]])</f>
        <v>2013</v>
      </c>
    </row>
    <row r="865" spans="1:12" ht="15" hidden="1" customHeight="1">
      <c r="A865" s="149" t="s">
        <v>489</v>
      </c>
      <c r="B865" s="150" t="s">
        <v>490</v>
      </c>
      <c r="C865" s="187">
        <v>815</v>
      </c>
      <c r="D865" s="187" t="s">
        <v>328</v>
      </c>
      <c r="E865" s="187" t="s">
        <v>340</v>
      </c>
      <c r="F865" s="188">
        <v>41592</v>
      </c>
      <c r="G865" s="188" t="s">
        <v>177</v>
      </c>
      <c r="H865" s="189" t="s">
        <v>23</v>
      </c>
      <c r="I865" s="189">
        <v>180100</v>
      </c>
      <c r="J865" s="190">
        <v>0.5</v>
      </c>
      <c r="K865" s="191">
        <f>MONTH(Tabela1[[#This Row],[Data da Venda]])</f>
        <v>11</v>
      </c>
      <c r="L865" s="191">
        <f>YEAR(Tabela1[[#This Row],[Data da Venda]])</f>
        <v>2013</v>
      </c>
    </row>
    <row r="866" spans="1:12" ht="15" hidden="1" customHeight="1">
      <c r="A866" s="149" t="s">
        <v>489</v>
      </c>
      <c r="B866" s="150" t="s">
        <v>490</v>
      </c>
      <c r="C866" s="187">
        <v>815</v>
      </c>
      <c r="D866" s="187" t="s">
        <v>328</v>
      </c>
      <c r="E866" s="187" t="s">
        <v>340</v>
      </c>
      <c r="F866" s="188">
        <v>41592</v>
      </c>
      <c r="G866" s="188" t="s">
        <v>377</v>
      </c>
      <c r="H866" s="189" t="s">
        <v>23</v>
      </c>
      <c r="I866" s="189">
        <v>180100</v>
      </c>
      <c r="J866" s="190">
        <v>0.5</v>
      </c>
      <c r="K866" s="191">
        <f>MONTH(Tabela1[[#This Row],[Data da Venda]])</f>
        <v>11</v>
      </c>
      <c r="L866" s="191">
        <f>YEAR(Tabela1[[#This Row],[Data da Venda]])</f>
        <v>2013</v>
      </c>
    </row>
    <row r="867" spans="1:12" ht="15" hidden="1" customHeight="1">
      <c r="A867" s="149" t="s">
        <v>489</v>
      </c>
      <c r="B867" s="150" t="s">
        <v>490</v>
      </c>
      <c r="C867" s="187">
        <v>819</v>
      </c>
      <c r="D867" s="187" t="s">
        <v>328</v>
      </c>
      <c r="E867" s="187" t="s">
        <v>340</v>
      </c>
      <c r="F867" s="188">
        <v>41592</v>
      </c>
      <c r="G867" s="188" t="s">
        <v>498</v>
      </c>
      <c r="H867" s="189" t="s">
        <v>357</v>
      </c>
      <c r="I867" s="189">
        <v>257600</v>
      </c>
      <c r="J867" s="190">
        <v>1</v>
      </c>
      <c r="K867" s="191">
        <f>MONTH(Tabela1[[#This Row],[Data da Venda]])</f>
        <v>11</v>
      </c>
      <c r="L867" s="191">
        <f>YEAR(Tabela1[[#This Row],[Data da Venda]])</f>
        <v>2013</v>
      </c>
    </row>
    <row r="868" spans="1:12" ht="15" hidden="1" customHeight="1">
      <c r="A868" s="149" t="s">
        <v>489</v>
      </c>
      <c r="B868" s="150" t="s">
        <v>490</v>
      </c>
      <c r="C868" s="187">
        <v>908</v>
      </c>
      <c r="D868" s="187" t="s">
        <v>328</v>
      </c>
      <c r="E868" s="187" t="s">
        <v>340</v>
      </c>
      <c r="F868" s="188">
        <v>41592</v>
      </c>
      <c r="G868" s="188" t="s">
        <v>196</v>
      </c>
      <c r="H868" s="189" t="s">
        <v>24</v>
      </c>
      <c r="I868" s="189">
        <v>231380</v>
      </c>
      <c r="J868" s="190">
        <v>1</v>
      </c>
      <c r="K868" s="191">
        <f>MONTH(Tabela1[[#This Row],[Data da Venda]])</f>
        <v>11</v>
      </c>
      <c r="L868" s="191">
        <f>YEAR(Tabela1[[#This Row],[Data da Venda]])</f>
        <v>2013</v>
      </c>
    </row>
    <row r="869" spans="1:12" ht="15" hidden="1" customHeight="1">
      <c r="A869" s="149" t="s">
        <v>489</v>
      </c>
      <c r="B869" s="150" t="s">
        <v>490</v>
      </c>
      <c r="C869" s="187">
        <v>909</v>
      </c>
      <c r="D869" s="187" t="s">
        <v>328</v>
      </c>
      <c r="E869" s="187" t="s">
        <v>340</v>
      </c>
      <c r="F869" s="188">
        <v>41592</v>
      </c>
      <c r="G869" s="188" t="s">
        <v>196</v>
      </c>
      <c r="H869" s="189" t="s">
        <v>24</v>
      </c>
      <c r="I869" s="189">
        <v>261740</v>
      </c>
      <c r="J869" s="190">
        <v>1</v>
      </c>
      <c r="K869" s="191">
        <f>MONTH(Tabela1[[#This Row],[Data da Venda]])</f>
        <v>11</v>
      </c>
      <c r="L869" s="191">
        <f>YEAR(Tabela1[[#This Row],[Data da Venda]])</f>
        <v>2013</v>
      </c>
    </row>
    <row r="870" spans="1:12" ht="15" hidden="1" customHeight="1">
      <c r="A870" s="149" t="s">
        <v>489</v>
      </c>
      <c r="B870" s="150" t="s">
        <v>490</v>
      </c>
      <c r="C870" s="187">
        <v>918</v>
      </c>
      <c r="D870" s="187" t="s">
        <v>328</v>
      </c>
      <c r="E870" s="187" t="s">
        <v>340</v>
      </c>
      <c r="F870" s="188">
        <v>41592</v>
      </c>
      <c r="G870" s="188" t="s">
        <v>196</v>
      </c>
      <c r="H870" s="189" t="s">
        <v>24</v>
      </c>
      <c r="I870" s="189">
        <v>245450</v>
      </c>
      <c r="J870" s="190">
        <v>1</v>
      </c>
      <c r="K870" s="191">
        <f>MONTH(Tabela1[[#This Row],[Data da Venda]])</f>
        <v>11</v>
      </c>
      <c r="L870" s="191">
        <f>YEAR(Tabela1[[#This Row],[Data da Venda]])</f>
        <v>2013</v>
      </c>
    </row>
    <row r="871" spans="1:12" ht="15" hidden="1" customHeight="1">
      <c r="A871" s="149" t="s">
        <v>489</v>
      </c>
      <c r="B871" s="150" t="s">
        <v>490</v>
      </c>
      <c r="C871" s="187">
        <v>1017</v>
      </c>
      <c r="D871" s="187" t="s">
        <v>328</v>
      </c>
      <c r="E871" s="187" t="s">
        <v>340</v>
      </c>
      <c r="F871" s="188">
        <v>41592</v>
      </c>
      <c r="G871" s="188" t="s">
        <v>62</v>
      </c>
      <c r="H871" s="189" t="s">
        <v>25</v>
      </c>
      <c r="I871" s="189">
        <v>260582.55</v>
      </c>
      <c r="J871" s="190">
        <v>1</v>
      </c>
      <c r="K871" s="191">
        <f>MONTH(Tabela1[[#This Row],[Data da Venda]])</f>
        <v>11</v>
      </c>
      <c r="L871" s="191">
        <f>YEAR(Tabela1[[#This Row],[Data da Venda]])</f>
        <v>2013</v>
      </c>
    </row>
    <row r="872" spans="1:12" ht="15" hidden="1" customHeight="1">
      <c r="A872" s="149" t="s">
        <v>489</v>
      </c>
      <c r="B872" s="150" t="s">
        <v>490</v>
      </c>
      <c r="C872" s="187">
        <v>1019</v>
      </c>
      <c r="D872" s="187" t="s">
        <v>328</v>
      </c>
      <c r="E872" s="187" t="s">
        <v>340</v>
      </c>
      <c r="F872" s="188">
        <v>41592</v>
      </c>
      <c r="G872" s="188" t="s">
        <v>196</v>
      </c>
      <c r="H872" s="189" t="s">
        <v>24</v>
      </c>
      <c r="I872" s="189">
        <v>260375.73</v>
      </c>
      <c r="J872" s="190">
        <v>1</v>
      </c>
      <c r="K872" s="191">
        <f>MONTH(Tabela1[[#This Row],[Data da Venda]])</f>
        <v>11</v>
      </c>
      <c r="L872" s="191">
        <f>YEAR(Tabela1[[#This Row],[Data da Venda]])</f>
        <v>2013</v>
      </c>
    </row>
    <row r="873" spans="1:12" ht="15" hidden="1" customHeight="1">
      <c r="A873" s="149" t="s">
        <v>489</v>
      </c>
      <c r="B873" s="150" t="s">
        <v>490</v>
      </c>
      <c r="C873" s="187">
        <v>1112</v>
      </c>
      <c r="D873" s="187" t="s">
        <v>328</v>
      </c>
      <c r="E873" s="187" t="s">
        <v>340</v>
      </c>
      <c r="F873" s="188">
        <v>41592</v>
      </c>
      <c r="G873" s="188" t="s">
        <v>56</v>
      </c>
      <c r="H873" s="189" t="s">
        <v>26</v>
      </c>
      <c r="I873" s="189">
        <v>280650</v>
      </c>
      <c r="J873" s="190">
        <v>1</v>
      </c>
      <c r="K873" s="191">
        <f>MONTH(Tabela1[[#This Row],[Data da Venda]])</f>
        <v>11</v>
      </c>
      <c r="L873" s="191">
        <f>YEAR(Tabela1[[#This Row],[Data da Venda]])</f>
        <v>2013</v>
      </c>
    </row>
    <row r="874" spans="1:12" ht="15" hidden="1" customHeight="1">
      <c r="A874" s="149" t="s">
        <v>489</v>
      </c>
      <c r="B874" s="150" t="s">
        <v>490</v>
      </c>
      <c r="C874" s="187">
        <v>1613</v>
      </c>
      <c r="D874" s="187" t="s">
        <v>328</v>
      </c>
      <c r="E874" s="187" t="s">
        <v>340</v>
      </c>
      <c r="F874" s="188">
        <v>41592</v>
      </c>
      <c r="G874" s="188" t="s">
        <v>177</v>
      </c>
      <c r="H874" s="189" t="s">
        <v>23</v>
      </c>
      <c r="I874" s="189">
        <f>260794.26/2</f>
        <v>130397.13</v>
      </c>
      <c r="J874" s="190">
        <v>0.5</v>
      </c>
      <c r="K874" s="191">
        <f>MONTH(Tabela1[[#This Row],[Data da Venda]])</f>
        <v>11</v>
      </c>
      <c r="L874" s="191">
        <f>YEAR(Tabela1[[#This Row],[Data da Venda]])</f>
        <v>2013</v>
      </c>
    </row>
    <row r="875" spans="1:12" ht="15" hidden="1" customHeight="1">
      <c r="A875" s="149" t="s">
        <v>489</v>
      </c>
      <c r="B875" s="150" t="s">
        <v>490</v>
      </c>
      <c r="C875" s="187">
        <v>1613</v>
      </c>
      <c r="D875" s="187" t="s">
        <v>328</v>
      </c>
      <c r="E875" s="187" t="s">
        <v>340</v>
      </c>
      <c r="F875" s="188">
        <v>41592</v>
      </c>
      <c r="G875" s="188" t="s">
        <v>160</v>
      </c>
      <c r="H875" s="189" t="s">
        <v>23</v>
      </c>
      <c r="I875" s="189">
        <f>260794.26/2</f>
        <v>130397.13</v>
      </c>
      <c r="J875" s="190">
        <v>0.5</v>
      </c>
      <c r="K875" s="191">
        <f>MONTH(Tabela1[[#This Row],[Data da Venda]])</f>
        <v>11</v>
      </c>
      <c r="L875" s="191">
        <f>YEAR(Tabela1[[#This Row],[Data da Venda]])</f>
        <v>2013</v>
      </c>
    </row>
    <row r="876" spans="1:12" ht="15" hidden="1" customHeight="1">
      <c r="A876" s="149" t="s">
        <v>489</v>
      </c>
      <c r="B876" s="150" t="s">
        <v>490</v>
      </c>
      <c r="C876" s="171">
        <v>306</v>
      </c>
      <c r="D876" s="155" t="s">
        <v>328</v>
      </c>
      <c r="E876" s="155" t="s">
        <v>340</v>
      </c>
      <c r="F876" s="172">
        <v>41593</v>
      </c>
      <c r="G876" s="156" t="s">
        <v>493</v>
      </c>
      <c r="H876" s="157" t="s">
        <v>460</v>
      </c>
      <c r="I876" s="173">
        <v>336679.16</v>
      </c>
      <c r="J876" s="174">
        <v>1</v>
      </c>
      <c r="K876" s="175">
        <f>MONTH(Tabela1[[#This Row],[Data da Venda]])</f>
        <v>11</v>
      </c>
      <c r="L876" s="175">
        <f>YEAR(Tabela1[[#This Row],[Data da Venda]])</f>
        <v>2013</v>
      </c>
    </row>
    <row r="877" spans="1:12" ht="15" hidden="1" customHeight="1">
      <c r="A877" s="149" t="s">
        <v>489</v>
      </c>
      <c r="B877" s="150" t="s">
        <v>490</v>
      </c>
      <c r="C877" s="171">
        <v>419</v>
      </c>
      <c r="D877" s="155" t="s">
        <v>328</v>
      </c>
      <c r="E877" s="155" t="s">
        <v>340</v>
      </c>
      <c r="F877" s="172">
        <v>41593</v>
      </c>
      <c r="G877" s="156" t="s">
        <v>332</v>
      </c>
      <c r="H877" s="157" t="s">
        <v>26</v>
      </c>
      <c r="I877" s="173">
        <v>235150</v>
      </c>
      <c r="J877" s="174">
        <v>1</v>
      </c>
      <c r="K877" s="175">
        <f>MONTH(Tabela1[[#This Row],[Data da Venda]])</f>
        <v>11</v>
      </c>
      <c r="L877" s="175">
        <f>YEAR(Tabela1[[#This Row],[Data da Venda]])</f>
        <v>2013</v>
      </c>
    </row>
    <row r="878" spans="1:12" ht="15" hidden="1" customHeight="1">
      <c r="A878" s="149" t="s">
        <v>489</v>
      </c>
      <c r="B878" s="150" t="s">
        <v>490</v>
      </c>
      <c r="C878" s="171">
        <v>508</v>
      </c>
      <c r="D878" s="155" t="s">
        <v>328</v>
      </c>
      <c r="E878" s="155" t="s">
        <v>340</v>
      </c>
      <c r="F878" s="172">
        <v>41593</v>
      </c>
      <c r="G878" s="156" t="s">
        <v>367</v>
      </c>
      <c r="H878" s="157" t="s">
        <v>27</v>
      </c>
      <c r="I878" s="173">
        <v>260774</v>
      </c>
      <c r="J878" s="174">
        <v>1</v>
      </c>
      <c r="K878" s="175">
        <f>MONTH(Tabela1[[#This Row],[Data da Venda]])</f>
        <v>11</v>
      </c>
      <c r="L878" s="175">
        <f>YEAR(Tabela1[[#This Row],[Data da Venda]])</f>
        <v>2013</v>
      </c>
    </row>
    <row r="879" spans="1:12" ht="15" hidden="1" customHeight="1">
      <c r="A879" s="149" t="s">
        <v>489</v>
      </c>
      <c r="B879" s="150" t="s">
        <v>490</v>
      </c>
      <c r="C879" s="187">
        <v>902</v>
      </c>
      <c r="D879" s="187" t="s">
        <v>328</v>
      </c>
      <c r="E879" s="187" t="s">
        <v>340</v>
      </c>
      <c r="F879" s="188">
        <v>41593</v>
      </c>
      <c r="G879" s="188" t="s">
        <v>44</v>
      </c>
      <c r="H879" s="189" t="s">
        <v>25</v>
      </c>
      <c r="I879" s="189">
        <v>131550.41</v>
      </c>
      <c r="J879" s="190">
        <v>0.5</v>
      </c>
      <c r="K879" s="191">
        <f>MONTH(Tabela1[[#This Row],[Data da Venda]])</f>
        <v>11</v>
      </c>
      <c r="L879" s="191">
        <f>YEAR(Tabela1[[#This Row],[Data da Venda]])</f>
        <v>2013</v>
      </c>
    </row>
    <row r="880" spans="1:12" ht="15" hidden="1" customHeight="1">
      <c r="A880" s="149" t="s">
        <v>489</v>
      </c>
      <c r="B880" s="150" t="s">
        <v>490</v>
      </c>
      <c r="C880" s="187">
        <v>902</v>
      </c>
      <c r="D880" s="187" t="s">
        <v>328</v>
      </c>
      <c r="E880" s="187" t="s">
        <v>340</v>
      </c>
      <c r="F880" s="188">
        <v>41593</v>
      </c>
      <c r="G880" s="156" t="s">
        <v>515</v>
      </c>
      <c r="H880" s="189" t="s">
        <v>26</v>
      </c>
      <c r="I880" s="189">
        <v>131550.41</v>
      </c>
      <c r="J880" s="190">
        <v>0.5</v>
      </c>
      <c r="K880" s="191">
        <f>MONTH(Tabela1[[#This Row],[Data da Venda]])</f>
        <v>11</v>
      </c>
      <c r="L880" s="191">
        <f>YEAR(Tabela1[[#This Row],[Data da Venda]])</f>
        <v>2013</v>
      </c>
    </row>
    <row r="881" spans="1:12" ht="15" hidden="1" customHeight="1">
      <c r="A881" s="149" t="s">
        <v>489</v>
      </c>
      <c r="B881" s="150" t="s">
        <v>490</v>
      </c>
      <c r="C881" s="187">
        <v>906</v>
      </c>
      <c r="D881" s="187" t="s">
        <v>328</v>
      </c>
      <c r="E881" s="187" t="s">
        <v>340</v>
      </c>
      <c r="F881" s="188">
        <v>41593</v>
      </c>
      <c r="G881" s="188" t="s">
        <v>499</v>
      </c>
      <c r="H881" s="189" t="s">
        <v>61</v>
      </c>
      <c r="I881" s="189">
        <v>185975.77</v>
      </c>
      <c r="J881" s="190">
        <v>0.5</v>
      </c>
      <c r="K881" s="191">
        <f>MONTH(Tabela1[[#This Row],[Data da Venda]])</f>
        <v>11</v>
      </c>
      <c r="L881" s="191">
        <f>YEAR(Tabela1[[#This Row],[Data da Venda]])</f>
        <v>2013</v>
      </c>
    </row>
    <row r="882" spans="1:12" ht="15" hidden="1" customHeight="1">
      <c r="A882" s="149" t="s">
        <v>489</v>
      </c>
      <c r="B882" s="150" t="s">
        <v>490</v>
      </c>
      <c r="C882" s="187">
        <v>906</v>
      </c>
      <c r="D882" s="187" t="s">
        <v>328</v>
      </c>
      <c r="E882" s="187" t="s">
        <v>340</v>
      </c>
      <c r="F882" s="188">
        <v>41593</v>
      </c>
      <c r="G882" s="188" t="s">
        <v>285</v>
      </c>
      <c r="H882" s="189" t="s">
        <v>61</v>
      </c>
      <c r="I882" s="189">
        <v>185975.77</v>
      </c>
      <c r="J882" s="190">
        <v>0.5</v>
      </c>
      <c r="K882" s="191">
        <f>MONTH(Tabela1[[#This Row],[Data da Venda]])</f>
        <v>11</v>
      </c>
      <c r="L882" s="191">
        <f>YEAR(Tabela1[[#This Row],[Data da Venda]])</f>
        <v>2013</v>
      </c>
    </row>
    <row r="883" spans="1:12" ht="15" hidden="1" customHeight="1">
      <c r="A883" s="149" t="s">
        <v>489</v>
      </c>
      <c r="B883" s="150" t="s">
        <v>490</v>
      </c>
      <c r="C883" s="187">
        <v>1114</v>
      </c>
      <c r="D883" s="187" t="s">
        <v>328</v>
      </c>
      <c r="E883" s="187" t="s">
        <v>340</v>
      </c>
      <c r="F883" s="188">
        <v>41593</v>
      </c>
      <c r="G883" s="188" t="s">
        <v>56</v>
      </c>
      <c r="H883" s="189" t="s">
        <v>26</v>
      </c>
      <c r="I883" s="189">
        <v>280650</v>
      </c>
      <c r="J883" s="190">
        <v>1</v>
      </c>
      <c r="K883" s="191">
        <f>MONTH(Tabela1[[#This Row],[Data da Venda]])</f>
        <v>11</v>
      </c>
      <c r="L883" s="191">
        <f>YEAR(Tabela1[[#This Row],[Data da Venda]])</f>
        <v>2013</v>
      </c>
    </row>
    <row r="884" spans="1:12" ht="15" hidden="1" customHeight="1">
      <c r="A884" s="149" t="s">
        <v>489</v>
      </c>
      <c r="B884" s="150" t="s">
        <v>490</v>
      </c>
      <c r="C884" s="187">
        <v>1512</v>
      </c>
      <c r="D884" s="187" t="s">
        <v>328</v>
      </c>
      <c r="E884" s="187" t="s">
        <v>340</v>
      </c>
      <c r="F884" s="188">
        <v>41593</v>
      </c>
      <c r="G884" s="188" t="s">
        <v>56</v>
      </c>
      <c r="H884" s="189" t="s">
        <v>26</v>
      </c>
      <c r="I884" s="189">
        <v>280650</v>
      </c>
      <c r="J884" s="190">
        <v>1</v>
      </c>
      <c r="K884" s="191">
        <f>MONTH(Tabela1[[#This Row],[Data da Venda]])</f>
        <v>11</v>
      </c>
      <c r="L884" s="191">
        <f>YEAR(Tabela1[[#This Row],[Data da Venda]])</f>
        <v>2013</v>
      </c>
    </row>
    <row r="885" spans="1:12" ht="15" hidden="1" customHeight="1">
      <c r="A885" s="149" t="s">
        <v>489</v>
      </c>
      <c r="B885" s="150" t="s">
        <v>490</v>
      </c>
      <c r="C885" s="187">
        <v>1514</v>
      </c>
      <c r="D885" s="187" t="s">
        <v>328</v>
      </c>
      <c r="E885" s="187" t="s">
        <v>340</v>
      </c>
      <c r="F885" s="188">
        <v>41593</v>
      </c>
      <c r="G885" s="188" t="s">
        <v>56</v>
      </c>
      <c r="H885" s="189" t="s">
        <v>26</v>
      </c>
      <c r="I885" s="189">
        <v>280650</v>
      </c>
      <c r="J885" s="190">
        <v>1</v>
      </c>
      <c r="K885" s="191">
        <f>MONTH(Tabela1[[#This Row],[Data da Venda]])</f>
        <v>11</v>
      </c>
      <c r="L885" s="191">
        <f>YEAR(Tabela1[[#This Row],[Data da Venda]])</f>
        <v>2013</v>
      </c>
    </row>
    <row r="886" spans="1:12" ht="15" hidden="1" customHeight="1">
      <c r="A886" s="149" t="s">
        <v>489</v>
      </c>
      <c r="B886" s="150" t="s">
        <v>490</v>
      </c>
      <c r="C886" s="187">
        <v>912</v>
      </c>
      <c r="D886" s="187" t="s">
        <v>329</v>
      </c>
      <c r="E886" s="187" t="s">
        <v>340</v>
      </c>
      <c r="F886" s="188">
        <v>41594</v>
      </c>
      <c r="G886" s="156" t="s">
        <v>337</v>
      </c>
      <c r="H886" s="189" t="s">
        <v>33</v>
      </c>
      <c r="I886" s="189">
        <v>243500</v>
      </c>
      <c r="J886" s="190">
        <v>1</v>
      </c>
      <c r="K886" s="191">
        <f>MONTH(Tabela1[[#This Row],[Data da Venda]])</f>
        <v>11</v>
      </c>
      <c r="L886" s="191">
        <f>YEAR(Tabela1[[#This Row],[Data da Venda]])</f>
        <v>2013</v>
      </c>
    </row>
    <row r="887" spans="1:12" ht="15" hidden="1" customHeight="1">
      <c r="A887" s="149" t="s">
        <v>489</v>
      </c>
      <c r="B887" s="150" t="s">
        <v>490</v>
      </c>
      <c r="C887" s="187">
        <v>1206</v>
      </c>
      <c r="D887" s="187" t="s">
        <v>328</v>
      </c>
      <c r="E887" s="187" t="s">
        <v>340</v>
      </c>
      <c r="F887" s="188">
        <v>41594</v>
      </c>
      <c r="G887" s="188" t="s">
        <v>163</v>
      </c>
      <c r="H887" s="189" t="s">
        <v>25</v>
      </c>
      <c r="I887" s="189">
        <v>377222</v>
      </c>
      <c r="J887" s="190">
        <v>1</v>
      </c>
      <c r="K887" s="191">
        <f>MONTH(Tabela1[[#This Row],[Data da Venda]])</f>
        <v>11</v>
      </c>
      <c r="L887" s="191">
        <f>YEAR(Tabela1[[#This Row],[Data da Venda]])</f>
        <v>2013</v>
      </c>
    </row>
    <row r="888" spans="1:12" ht="15" hidden="1" customHeight="1">
      <c r="A888" s="149" t="s">
        <v>425</v>
      </c>
      <c r="B888" s="150" t="s">
        <v>404</v>
      </c>
      <c r="C888" s="171">
        <v>3</v>
      </c>
      <c r="D888" s="155" t="s">
        <v>328</v>
      </c>
      <c r="E888" s="155" t="s">
        <v>340</v>
      </c>
      <c r="F888" s="172">
        <v>41595</v>
      </c>
      <c r="G888" s="156" t="s">
        <v>291</v>
      </c>
      <c r="H888" s="157" t="s">
        <v>61</v>
      </c>
      <c r="I888" s="173">
        <v>469000</v>
      </c>
      <c r="J888" s="174">
        <v>1</v>
      </c>
      <c r="K888" s="175">
        <f>MONTH(Tabela1[[#This Row],[Data da Venda]])</f>
        <v>11</v>
      </c>
      <c r="L888" s="175">
        <f>YEAR(Tabela1[[#This Row],[Data da Venda]])</f>
        <v>2013</v>
      </c>
    </row>
    <row r="889" spans="1:12" ht="15" hidden="1" customHeight="1">
      <c r="A889" s="149" t="s">
        <v>191</v>
      </c>
      <c r="B889" s="150" t="s">
        <v>401</v>
      </c>
      <c r="C889" s="171">
        <v>32</v>
      </c>
      <c r="D889" s="155" t="s">
        <v>328</v>
      </c>
      <c r="E889" s="155" t="s">
        <v>339</v>
      </c>
      <c r="F889" s="172">
        <v>41595</v>
      </c>
      <c r="G889" s="156" t="s">
        <v>65</v>
      </c>
      <c r="H889" s="157" t="s">
        <v>25</v>
      </c>
      <c r="I889" s="173">
        <v>108675</v>
      </c>
      <c r="J889" s="174">
        <v>0.5</v>
      </c>
      <c r="K889" s="175">
        <f>MONTH(Tabela1[[#This Row],[Data da Venda]])</f>
        <v>11</v>
      </c>
      <c r="L889" s="175">
        <f>YEAR(Tabela1[[#This Row],[Data da Venda]])</f>
        <v>2013</v>
      </c>
    </row>
    <row r="890" spans="1:12" ht="15" hidden="1" customHeight="1">
      <c r="A890" s="149" t="s">
        <v>191</v>
      </c>
      <c r="B890" s="150" t="s">
        <v>401</v>
      </c>
      <c r="C890" s="171">
        <v>32</v>
      </c>
      <c r="D890" s="155" t="s">
        <v>328</v>
      </c>
      <c r="E890" s="155" t="s">
        <v>339</v>
      </c>
      <c r="F890" s="172">
        <v>41595</v>
      </c>
      <c r="G890" s="156" t="s">
        <v>384</v>
      </c>
      <c r="H890" s="157" t="s">
        <v>25</v>
      </c>
      <c r="I890" s="173">
        <v>108675</v>
      </c>
      <c r="J890" s="174">
        <v>0.5</v>
      </c>
      <c r="K890" s="175">
        <f>MONTH(Tabela1[[#This Row],[Data da Venda]])</f>
        <v>11</v>
      </c>
      <c r="L890" s="175">
        <f>YEAR(Tabela1[[#This Row],[Data da Venda]])</f>
        <v>2013</v>
      </c>
    </row>
    <row r="891" spans="1:12" ht="15" hidden="1" customHeight="1">
      <c r="A891" s="149" t="s">
        <v>489</v>
      </c>
      <c r="B891" s="150" t="s">
        <v>490</v>
      </c>
      <c r="C891" s="171">
        <v>207</v>
      </c>
      <c r="D891" s="155" t="s">
        <v>328</v>
      </c>
      <c r="E891" s="155" t="s">
        <v>340</v>
      </c>
      <c r="F891" s="172">
        <v>41595</v>
      </c>
      <c r="G891" s="156" t="s">
        <v>333</v>
      </c>
      <c r="H891" s="157" t="s">
        <v>24</v>
      </c>
      <c r="I891" s="173">
        <v>258930</v>
      </c>
      <c r="J891" s="174">
        <v>1</v>
      </c>
      <c r="K891" s="175">
        <f>MONTH(Tabela1[[#This Row],[Data da Venda]])</f>
        <v>11</v>
      </c>
      <c r="L891" s="175">
        <f>YEAR(Tabela1[[#This Row],[Data da Venda]])</f>
        <v>2013</v>
      </c>
    </row>
    <row r="892" spans="1:12" ht="15" hidden="1" customHeight="1">
      <c r="A892" s="149" t="s">
        <v>489</v>
      </c>
      <c r="B892" s="150" t="s">
        <v>490</v>
      </c>
      <c r="C892" s="171">
        <v>108</v>
      </c>
      <c r="D892" s="155" t="s">
        <v>328</v>
      </c>
      <c r="E892" s="155" t="s">
        <v>340</v>
      </c>
      <c r="F892" s="172">
        <v>41595</v>
      </c>
      <c r="G892" s="156" t="s">
        <v>22</v>
      </c>
      <c r="H892" s="157" t="s">
        <v>23</v>
      </c>
      <c r="I892" s="173">
        <v>256870.37</v>
      </c>
      <c r="J892" s="174">
        <v>1</v>
      </c>
      <c r="K892" s="175">
        <f>MONTH(Tabela1[[#This Row],[Data da Venda]])</f>
        <v>11</v>
      </c>
      <c r="L892" s="175">
        <f>YEAR(Tabela1[[#This Row],[Data da Venda]])</f>
        <v>2013</v>
      </c>
    </row>
    <row r="893" spans="1:12" ht="15" hidden="1" customHeight="1">
      <c r="A893" s="149" t="s">
        <v>489</v>
      </c>
      <c r="B893" s="150" t="s">
        <v>490</v>
      </c>
      <c r="C893" s="171">
        <v>112</v>
      </c>
      <c r="D893" s="155" t="s">
        <v>328</v>
      </c>
      <c r="E893" s="155" t="s">
        <v>340</v>
      </c>
      <c r="F893" s="172">
        <v>41595</v>
      </c>
      <c r="G893" s="156" t="s">
        <v>333</v>
      </c>
      <c r="H893" s="157" t="s">
        <v>24</v>
      </c>
      <c r="I893" s="173">
        <v>256864.82</v>
      </c>
      <c r="J893" s="174">
        <v>1</v>
      </c>
      <c r="K893" s="175">
        <f>MONTH(Tabela1[[#This Row],[Data da Venda]])</f>
        <v>11</v>
      </c>
      <c r="L893" s="175">
        <f>YEAR(Tabela1[[#This Row],[Data da Venda]])</f>
        <v>2013</v>
      </c>
    </row>
    <row r="894" spans="1:12" ht="15" hidden="1" customHeight="1">
      <c r="A894" s="149" t="s">
        <v>489</v>
      </c>
      <c r="B894" s="150" t="s">
        <v>490</v>
      </c>
      <c r="C894" s="171">
        <v>217</v>
      </c>
      <c r="D894" s="155" t="s">
        <v>328</v>
      </c>
      <c r="E894" s="155" t="s">
        <v>340</v>
      </c>
      <c r="F894" s="172">
        <v>41595</v>
      </c>
      <c r="G894" s="156" t="s">
        <v>369</v>
      </c>
      <c r="H894" s="157" t="s">
        <v>25</v>
      </c>
      <c r="I894" s="173">
        <v>127612</v>
      </c>
      <c r="J894" s="174">
        <v>0.5</v>
      </c>
      <c r="K894" s="175">
        <f>MONTH(Tabela1[[#This Row],[Data da Venda]])</f>
        <v>11</v>
      </c>
      <c r="L894" s="175">
        <f>YEAR(Tabela1[[#This Row],[Data da Venda]])</f>
        <v>2013</v>
      </c>
    </row>
    <row r="895" spans="1:12" ht="15" hidden="1" customHeight="1">
      <c r="A895" s="149" t="s">
        <v>489</v>
      </c>
      <c r="B895" s="150" t="s">
        <v>490</v>
      </c>
      <c r="C895" s="171">
        <v>217</v>
      </c>
      <c r="D895" s="155" t="s">
        <v>328</v>
      </c>
      <c r="E895" s="155" t="s">
        <v>340</v>
      </c>
      <c r="F895" s="172">
        <v>41595</v>
      </c>
      <c r="G895" s="156" t="s">
        <v>384</v>
      </c>
      <c r="H895" s="157" t="s">
        <v>25</v>
      </c>
      <c r="I895" s="173">
        <v>127612</v>
      </c>
      <c r="J895" s="174">
        <v>0.5</v>
      </c>
      <c r="K895" s="175">
        <f>MONTH(Tabela1[[#This Row],[Data da Venda]])</f>
        <v>11</v>
      </c>
      <c r="L895" s="175">
        <f>YEAR(Tabela1[[#This Row],[Data da Venda]])</f>
        <v>2013</v>
      </c>
    </row>
    <row r="896" spans="1:12" ht="15" hidden="1" customHeight="1">
      <c r="A896" s="149" t="s">
        <v>489</v>
      </c>
      <c r="B896" s="150" t="s">
        <v>490</v>
      </c>
      <c r="C896" s="187">
        <v>1201</v>
      </c>
      <c r="D896" s="187" t="s">
        <v>328</v>
      </c>
      <c r="E896" s="187" t="s">
        <v>340</v>
      </c>
      <c r="F896" s="188">
        <v>41595</v>
      </c>
      <c r="G896" s="188" t="s">
        <v>48</v>
      </c>
      <c r="H896" s="189" t="s">
        <v>25</v>
      </c>
      <c r="I896" s="189">
        <v>267643.14</v>
      </c>
      <c r="J896" s="190">
        <v>1</v>
      </c>
      <c r="K896" s="191">
        <f>MONTH(Tabela1[[#This Row],[Data da Venda]])</f>
        <v>11</v>
      </c>
      <c r="L896" s="191">
        <f>YEAR(Tabela1[[#This Row],[Data da Venda]])</f>
        <v>2013</v>
      </c>
    </row>
    <row r="897" spans="1:12" ht="15" hidden="1" customHeight="1">
      <c r="A897" s="149" t="s">
        <v>489</v>
      </c>
      <c r="B897" s="150" t="s">
        <v>490</v>
      </c>
      <c r="C897" s="187">
        <v>1217</v>
      </c>
      <c r="D897" s="187" t="s">
        <v>328</v>
      </c>
      <c r="E897" s="187" t="s">
        <v>340</v>
      </c>
      <c r="F897" s="188">
        <v>41595</v>
      </c>
      <c r="G897" s="188" t="s">
        <v>500</v>
      </c>
      <c r="H897" s="189" t="s">
        <v>460</v>
      </c>
      <c r="I897" s="189">
        <v>268280</v>
      </c>
      <c r="J897" s="190">
        <v>1</v>
      </c>
      <c r="K897" s="191">
        <f>MONTH(Tabela1[[#This Row],[Data da Venda]])</f>
        <v>11</v>
      </c>
      <c r="L897" s="191">
        <f>YEAR(Tabela1[[#This Row],[Data da Venda]])</f>
        <v>2013</v>
      </c>
    </row>
    <row r="898" spans="1:12" ht="15" hidden="1" customHeight="1">
      <c r="A898" s="149" t="s">
        <v>489</v>
      </c>
      <c r="B898" s="150" t="s">
        <v>490</v>
      </c>
      <c r="C898" s="187">
        <v>1219</v>
      </c>
      <c r="D898" s="187" t="s">
        <v>328</v>
      </c>
      <c r="E898" s="187" t="s">
        <v>340</v>
      </c>
      <c r="F898" s="188">
        <v>41595</v>
      </c>
      <c r="G898" s="188" t="s">
        <v>502</v>
      </c>
      <c r="H898" s="189" t="s">
        <v>460</v>
      </c>
      <c r="I898" s="189">
        <v>112803</v>
      </c>
      <c r="J898" s="190">
        <v>0.5</v>
      </c>
      <c r="K898" s="191">
        <f>MONTH(Tabela1[[#This Row],[Data da Venda]])</f>
        <v>11</v>
      </c>
      <c r="L898" s="191">
        <f>YEAR(Tabela1[[#This Row],[Data da Venda]])</f>
        <v>2013</v>
      </c>
    </row>
    <row r="899" spans="1:12" ht="15" hidden="1" customHeight="1">
      <c r="A899" s="149" t="s">
        <v>489</v>
      </c>
      <c r="B899" s="150" t="s">
        <v>490</v>
      </c>
      <c r="C899" s="187">
        <v>1219</v>
      </c>
      <c r="D899" s="187" t="s">
        <v>328</v>
      </c>
      <c r="E899" s="187" t="s">
        <v>340</v>
      </c>
      <c r="F899" s="188">
        <v>41595</v>
      </c>
      <c r="G899" s="188" t="s">
        <v>501</v>
      </c>
      <c r="H899" s="189" t="s">
        <v>460</v>
      </c>
      <c r="I899" s="189">
        <v>112803</v>
      </c>
      <c r="J899" s="190">
        <v>0.5</v>
      </c>
      <c r="K899" s="191">
        <f>MONTH(Tabela1[[#This Row],[Data da Venda]])</f>
        <v>11</v>
      </c>
      <c r="L899" s="191">
        <f>YEAR(Tabela1[[#This Row],[Data da Venda]])</f>
        <v>2013</v>
      </c>
    </row>
    <row r="900" spans="1:12" ht="15" hidden="1" customHeight="1">
      <c r="A900" s="149" t="s">
        <v>489</v>
      </c>
      <c r="B900" s="150" t="s">
        <v>490</v>
      </c>
      <c r="C900" s="187">
        <v>1317</v>
      </c>
      <c r="D900" s="187" t="s">
        <v>328</v>
      </c>
      <c r="E900" s="187" t="s">
        <v>340</v>
      </c>
      <c r="F900" s="188">
        <v>41595</v>
      </c>
      <c r="G900" s="188" t="s">
        <v>500</v>
      </c>
      <c r="H900" s="189" t="s">
        <v>460</v>
      </c>
      <c r="I900" s="189">
        <v>268165</v>
      </c>
      <c r="J900" s="190">
        <v>1</v>
      </c>
      <c r="K900" s="191">
        <f>MONTH(Tabela1[[#This Row],[Data da Venda]])</f>
        <v>11</v>
      </c>
      <c r="L900" s="191">
        <f>YEAR(Tabela1[[#This Row],[Data da Venda]])</f>
        <v>2013</v>
      </c>
    </row>
    <row r="901" spans="1:12" ht="15" hidden="1" customHeight="1">
      <c r="A901" s="149" t="s">
        <v>489</v>
      </c>
      <c r="B901" s="150" t="s">
        <v>490</v>
      </c>
      <c r="C901" s="187">
        <v>1318</v>
      </c>
      <c r="D901" s="187" t="s">
        <v>328</v>
      </c>
      <c r="E901" s="187" t="s">
        <v>340</v>
      </c>
      <c r="F901" s="188">
        <v>41595</v>
      </c>
      <c r="G901" s="188" t="s">
        <v>500</v>
      </c>
      <c r="H901" s="189" t="s">
        <v>460</v>
      </c>
      <c r="I901" s="189">
        <v>268165</v>
      </c>
      <c r="J901" s="190">
        <v>1</v>
      </c>
      <c r="K901" s="191">
        <f>MONTH(Tabela1[[#This Row],[Data da Venda]])</f>
        <v>11</v>
      </c>
      <c r="L901" s="191">
        <f>YEAR(Tabela1[[#This Row],[Data da Venda]])</f>
        <v>2013</v>
      </c>
    </row>
    <row r="902" spans="1:12" ht="15" hidden="1" customHeight="1">
      <c r="A902" s="254" t="s">
        <v>489</v>
      </c>
      <c r="B902" s="255" t="s">
        <v>490</v>
      </c>
      <c r="C902" s="256">
        <v>1411</v>
      </c>
      <c r="D902" s="256" t="s">
        <v>328</v>
      </c>
      <c r="E902" s="256" t="s">
        <v>340</v>
      </c>
      <c r="F902" s="257">
        <v>41595</v>
      </c>
      <c r="G902" s="257" t="s">
        <v>160</v>
      </c>
      <c r="H902" s="258" t="s">
        <v>23</v>
      </c>
      <c r="I902" s="258">
        <v>210575.67</v>
      </c>
      <c r="J902" s="259">
        <v>0.5</v>
      </c>
      <c r="K902" s="260">
        <f>MONTH(Tabela1[[#This Row],[Data da Venda]])</f>
        <v>11</v>
      </c>
      <c r="L902" s="260">
        <f>YEAR(Tabela1[[#This Row],[Data da Venda]])</f>
        <v>2013</v>
      </c>
    </row>
    <row r="903" spans="1:12" ht="15" hidden="1" customHeight="1">
      <c r="A903" s="149" t="s">
        <v>489</v>
      </c>
      <c r="B903" s="150" t="s">
        <v>490</v>
      </c>
      <c r="C903" s="187">
        <v>1411</v>
      </c>
      <c r="D903" s="187" t="s">
        <v>328</v>
      </c>
      <c r="E903" s="187" t="s">
        <v>340</v>
      </c>
      <c r="F903" s="188">
        <v>41595</v>
      </c>
      <c r="G903" s="188" t="s">
        <v>177</v>
      </c>
      <c r="H903" s="189" t="s">
        <v>23</v>
      </c>
      <c r="I903" s="189">
        <v>210575.67</v>
      </c>
      <c r="J903" s="190">
        <v>0.5</v>
      </c>
      <c r="K903" s="191">
        <f>MONTH(Tabela1[[#This Row],[Data da Venda]])</f>
        <v>11</v>
      </c>
      <c r="L903" s="191">
        <f>YEAR(Tabela1[[#This Row],[Data da Venda]])</f>
        <v>2013</v>
      </c>
    </row>
    <row r="904" spans="1:12" ht="15" hidden="1" customHeight="1">
      <c r="A904" s="149" t="s">
        <v>415</v>
      </c>
      <c r="B904" s="150" t="s">
        <v>416</v>
      </c>
      <c r="C904" s="171">
        <v>2609</v>
      </c>
      <c r="D904" s="155" t="s">
        <v>328</v>
      </c>
      <c r="E904" s="155" t="s">
        <v>340</v>
      </c>
      <c r="F904" s="172">
        <v>41596</v>
      </c>
      <c r="G904" s="156" t="s">
        <v>366</v>
      </c>
      <c r="H904" s="157" t="s">
        <v>24</v>
      </c>
      <c r="I904" s="173">
        <v>516500</v>
      </c>
      <c r="J904" s="174">
        <v>1</v>
      </c>
      <c r="K904" s="175">
        <f>MONTH(Tabela1[[#This Row],[Data da Venda]])</f>
        <v>11</v>
      </c>
      <c r="L904" s="175">
        <f>YEAR(Tabela1[[#This Row],[Data da Venda]])</f>
        <v>2013</v>
      </c>
    </row>
    <row r="905" spans="1:12" ht="15" hidden="1" customHeight="1">
      <c r="A905" s="149" t="s">
        <v>191</v>
      </c>
      <c r="B905" s="150" t="s">
        <v>385</v>
      </c>
      <c r="C905" s="171">
        <v>111</v>
      </c>
      <c r="D905" s="155" t="s">
        <v>328</v>
      </c>
      <c r="E905" s="155" t="s">
        <v>339</v>
      </c>
      <c r="F905" s="172">
        <v>41596</v>
      </c>
      <c r="G905" s="156" t="s">
        <v>148</v>
      </c>
      <c r="H905" s="157" t="s">
        <v>26</v>
      </c>
      <c r="I905" s="173">
        <v>264000</v>
      </c>
      <c r="J905" s="174">
        <v>1</v>
      </c>
      <c r="K905" s="175">
        <f>MONTH(Tabela1[[#This Row],[Data da Venda]])</f>
        <v>11</v>
      </c>
      <c r="L905" s="175">
        <f>YEAR(Tabela1[[#This Row],[Data da Venda]])</f>
        <v>2013</v>
      </c>
    </row>
    <row r="906" spans="1:12" ht="15" hidden="1" customHeight="1">
      <c r="A906" s="149" t="s">
        <v>489</v>
      </c>
      <c r="B906" s="150" t="s">
        <v>490</v>
      </c>
      <c r="C906" s="171">
        <v>203</v>
      </c>
      <c r="D906" s="155" t="s">
        <v>328</v>
      </c>
      <c r="E906" s="155" t="s">
        <v>340</v>
      </c>
      <c r="F906" s="172">
        <v>41596</v>
      </c>
      <c r="G906" s="156" t="s">
        <v>286</v>
      </c>
      <c r="H906" s="157" t="s">
        <v>61</v>
      </c>
      <c r="I906" s="173">
        <v>252000</v>
      </c>
      <c r="J906" s="174">
        <v>1</v>
      </c>
      <c r="K906" s="175">
        <f>MONTH(Tabela1[[#This Row],[Data da Venda]])</f>
        <v>11</v>
      </c>
      <c r="L906" s="175">
        <f>YEAR(Tabela1[[#This Row],[Data da Venda]])</f>
        <v>2013</v>
      </c>
    </row>
    <row r="907" spans="1:12" ht="15" hidden="1" customHeight="1">
      <c r="A907" s="149" t="s">
        <v>489</v>
      </c>
      <c r="B907" s="150" t="s">
        <v>490</v>
      </c>
      <c r="C907" s="171">
        <v>409</v>
      </c>
      <c r="D907" s="155" t="s">
        <v>328</v>
      </c>
      <c r="E907" s="155" t="s">
        <v>340</v>
      </c>
      <c r="F907" s="172">
        <v>41596</v>
      </c>
      <c r="G907" s="156" t="s">
        <v>367</v>
      </c>
      <c r="H907" s="157" t="s">
        <v>27</v>
      </c>
      <c r="I907" s="173">
        <v>259290.7</v>
      </c>
      <c r="J907" s="174">
        <v>1</v>
      </c>
      <c r="K907" s="175">
        <f>MONTH(Tabela1[[#This Row],[Data da Venda]])</f>
        <v>11</v>
      </c>
      <c r="L907" s="175">
        <f>YEAR(Tabela1[[#This Row],[Data da Venda]])</f>
        <v>2013</v>
      </c>
    </row>
    <row r="908" spans="1:12" ht="15" hidden="1" customHeight="1">
      <c r="A908" s="149" t="s">
        <v>489</v>
      </c>
      <c r="B908" s="150" t="s">
        <v>490</v>
      </c>
      <c r="C908" s="171">
        <v>1004</v>
      </c>
      <c r="D908" s="155" t="s">
        <v>328</v>
      </c>
      <c r="E908" s="155" t="s">
        <v>340</v>
      </c>
      <c r="F908" s="172">
        <v>41596</v>
      </c>
      <c r="G908" s="156" t="s">
        <v>280</v>
      </c>
      <c r="H908" s="157" t="s">
        <v>460</v>
      </c>
      <c r="I908" s="173">
        <v>260582.55</v>
      </c>
      <c r="J908" s="174">
        <v>1</v>
      </c>
      <c r="K908" s="175">
        <f>MONTH(Tabela1[[#This Row],[Data da Venda]])</f>
        <v>11</v>
      </c>
      <c r="L908" s="175">
        <f>YEAR(Tabela1[[#This Row],[Data da Venda]])</f>
        <v>2013</v>
      </c>
    </row>
    <row r="909" spans="1:12" ht="15" hidden="1" customHeight="1">
      <c r="A909" s="149" t="s">
        <v>489</v>
      </c>
      <c r="B909" s="150" t="s">
        <v>490</v>
      </c>
      <c r="C909" s="171">
        <v>1106</v>
      </c>
      <c r="D909" s="155" t="s">
        <v>328</v>
      </c>
      <c r="E909" s="155" t="s">
        <v>340</v>
      </c>
      <c r="F909" s="172">
        <v>41596</v>
      </c>
      <c r="G909" s="156" t="s">
        <v>495</v>
      </c>
      <c r="H909" s="157" t="s">
        <v>357</v>
      </c>
      <c r="I909" s="173">
        <v>378460.5</v>
      </c>
      <c r="J909" s="174">
        <v>1</v>
      </c>
      <c r="K909" s="175">
        <f>MONTH(Tabela1[[#This Row],[Data da Venda]])</f>
        <v>11</v>
      </c>
      <c r="L909" s="175">
        <f>YEAR(Tabela1[[#This Row],[Data da Venda]])</f>
        <v>2013</v>
      </c>
    </row>
    <row r="910" spans="1:12" ht="15" hidden="1" customHeight="1">
      <c r="A910" s="149" t="s">
        <v>489</v>
      </c>
      <c r="B910" s="150" t="s">
        <v>490</v>
      </c>
      <c r="C910" s="171">
        <v>1218</v>
      </c>
      <c r="D910" s="155" t="s">
        <v>328</v>
      </c>
      <c r="E910" s="155" t="s">
        <v>340</v>
      </c>
      <c r="F910" s="172">
        <v>41596</v>
      </c>
      <c r="G910" s="156" t="s">
        <v>84</v>
      </c>
      <c r="H910" s="157" t="s">
        <v>61</v>
      </c>
      <c r="I910" s="173">
        <v>133500</v>
      </c>
      <c r="J910" s="174">
        <v>1</v>
      </c>
      <c r="K910" s="175">
        <f>MONTH(Tabela1[[#This Row],[Data da Venda]])</f>
        <v>11</v>
      </c>
      <c r="L910" s="175">
        <f>YEAR(Tabela1[[#This Row],[Data da Venda]])</f>
        <v>2013</v>
      </c>
    </row>
    <row r="911" spans="1:12" ht="15" hidden="1" customHeight="1">
      <c r="A911" s="149" t="s">
        <v>489</v>
      </c>
      <c r="B911" s="150" t="s">
        <v>490</v>
      </c>
      <c r="C911" s="171">
        <v>1218</v>
      </c>
      <c r="D911" s="155" t="s">
        <v>328</v>
      </c>
      <c r="E911" s="155" t="s">
        <v>340</v>
      </c>
      <c r="F911" s="172">
        <v>41596</v>
      </c>
      <c r="G911" s="156" t="s">
        <v>494</v>
      </c>
      <c r="H911" s="157" t="s">
        <v>61</v>
      </c>
      <c r="I911" s="173">
        <v>133500</v>
      </c>
      <c r="J911" s="174">
        <v>0.5</v>
      </c>
      <c r="K911" s="175">
        <f>MONTH(Tabela1[[#This Row],[Data da Venda]])</f>
        <v>11</v>
      </c>
      <c r="L911" s="175">
        <f>YEAR(Tabela1[[#This Row],[Data da Venda]])</f>
        <v>2013</v>
      </c>
    </row>
    <row r="912" spans="1:12" ht="15" hidden="1" customHeight="1">
      <c r="A912" s="149" t="s">
        <v>489</v>
      </c>
      <c r="B912" s="150" t="s">
        <v>490</v>
      </c>
      <c r="C912" s="187">
        <v>114</v>
      </c>
      <c r="D912" s="187" t="s">
        <v>328</v>
      </c>
      <c r="E912" s="187" t="s">
        <v>340</v>
      </c>
      <c r="F912" s="188">
        <v>41597</v>
      </c>
      <c r="G912" s="188" t="s">
        <v>87</v>
      </c>
      <c r="H912" s="189" t="s">
        <v>460</v>
      </c>
      <c r="I912" s="189">
        <v>256927</v>
      </c>
      <c r="J912" s="190">
        <v>0.5</v>
      </c>
      <c r="K912" s="191">
        <f>MONTH(Tabela1[[#This Row],[Data da Venda]])</f>
        <v>11</v>
      </c>
      <c r="L912" s="191">
        <f>YEAR(Tabela1[[#This Row],[Data da Venda]])</f>
        <v>2013</v>
      </c>
    </row>
    <row r="913" spans="1:12" ht="15" hidden="1" customHeight="1">
      <c r="A913" s="149" t="s">
        <v>489</v>
      </c>
      <c r="B913" s="150" t="s">
        <v>490</v>
      </c>
      <c r="C913" s="187">
        <v>114</v>
      </c>
      <c r="D913" s="187" t="s">
        <v>328</v>
      </c>
      <c r="E913" s="187" t="s">
        <v>340</v>
      </c>
      <c r="F913" s="188">
        <v>41597</v>
      </c>
      <c r="G913" s="188" t="s">
        <v>104</v>
      </c>
      <c r="H913" s="189" t="s">
        <v>26</v>
      </c>
      <c r="I913" s="189">
        <v>256927</v>
      </c>
      <c r="J913" s="190">
        <v>0.5</v>
      </c>
      <c r="K913" s="191">
        <f>MONTH(Tabela1[[#This Row],[Data da Venda]])</f>
        <v>11</v>
      </c>
      <c r="L913" s="191">
        <f>YEAR(Tabela1[[#This Row],[Data da Venda]])</f>
        <v>2013</v>
      </c>
    </row>
    <row r="914" spans="1:12" ht="15" hidden="1" customHeight="1">
      <c r="A914" s="149" t="s">
        <v>489</v>
      </c>
      <c r="B914" s="150" t="s">
        <v>490</v>
      </c>
      <c r="C914" s="187">
        <v>310</v>
      </c>
      <c r="D914" s="187" t="s">
        <v>329</v>
      </c>
      <c r="E914" s="187" t="s">
        <v>340</v>
      </c>
      <c r="F914" s="188">
        <v>41597</v>
      </c>
      <c r="G914" s="156" t="s">
        <v>337</v>
      </c>
      <c r="H914" s="189" t="s">
        <v>33</v>
      </c>
      <c r="I914" s="189">
        <v>269436.06</v>
      </c>
      <c r="J914" s="190">
        <v>1</v>
      </c>
      <c r="K914" s="191">
        <f>MONTH(Tabela1[[#This Row],[Data da Venda]])</f>
        <v>11</v>
      </c>
      <c r="L914" s="191">
        <f>YEAR(Tabela1[[#This Row],[Data da Venda]])</f>
        <v>2013</v>
      </c>
    </row>
    <row r="915" spans="1:12" ht="15" hidden="1" customHeight="1">
      <c r="A915" s="149" t="s">
        <v>489</v>
      </c>
      <c r="B915" s="150" t="s">
        <v>490</v>
      </c>
      <c r="C915" s="187">
        <v>817</v>
      </c>
      <c r="D915" s="187" t="s">
        <v>328</v>
      </c>
      <c r="E915" s="187" t="s">
        <v>340</v>
      </c>
      <c r="F915" s="188">
        <v>41597</v>
      </c>
      <c r="G915" s="188" t="s">
        <v>309</v>
      </c>
      <c r="H915" s="189" t="s">
        <v>26</v>
      </c>
      <c r="I915" s="189">
        <v>251834</v>
      </c>
      <c r="J915" s="190">
        <v>1</v>
      </c>
      <c r="K915" s="191">
        <f>MONTH(Tabela1[[#This Row],[Data da Venda]])</f>
        <v>11</v>
      </c>
      <c r="L915" s="191">
        <f>YEAR(Tabela1[[#This Row],[Data da Venda]])</f>
        <v>2013</v>
      </c>
    </row>
    <row r="916" spans="1:12" ht="15" hidden="1" customHeight="1">
      <c r="A916" s="149" t="s">
        <v>489</v>
      </c>
      <c r="B916" s="150" t="s">
        <v>490</v>
      </c>
      <c r="C916" s="187">
        <v>1302</v>
      </c>
      <c r="D916" s="187" t="s">
        <v>328</v>
      </c>
      <c r="E916" s="187" t="s">
        <v>340</v>
      </c>
      <c r="F916" s="188">
        <v>41597</v>
      </c>
      <c r="G916" s="188" t="s">
        <v>84</v>
      </c>
      <c r="H916" s="189" t="s">
        <v>61</v>
      </c>
      <c r="I916" s="189">
        <f>267700/2</f>
        <v>133850</v>
      </c>
      <c r="J916" s="190">
        <v>0.5</v>
      </c>
      <c r="K916" s="191">
        <f>MONTH(Tabela1[[#This Row],[Data da Venda]])</f>
        <v>11</v>
      </c>
      <c r="L916" s="191">
        <f>YEAR(Tabela1[[#This Row],[Data da Venda]])</f>
        <v>2013</v>
      </c>
    </row>
    <row r="917" spans="1:12" ht="15" hidden="1" customHeight="1">
      <c r="A917" s="149" t="s">
        <v>489</v>
      </c>
      <c r="B917" s="150" t="s">
        <v>490</v>
      </c>
      <c r="C917" s="187">
        <v>1302</v>
      </c>
      <c r="D917" s="187" t="s">
        <v>328</v>
      </c>
      <c r="E917" s="187" t="s">
        <v>340</v>
      </c>
      <c r="F917" s="188">
        <v>41597</v>
      </c>
      <c r="G917" s="188" t="s">
        <v>494</v>
      </c>
      <c r="H917" s="189" t="s">
        <v>61</v>
      </c>
      <c r="I917" s="189">
        <f>267700/2</f>
        <v>133850</v>
      </c>
      <c r="J917" s="190">
        <v>0.5</v>
      </c>
      <c r="K917" s="191">
        <f>MONTH(Tabela1[[#This Row],[Data da Venda]])</f>
        <v>11</v>
      </c>
      <c r="L917" s="191">
        <f>YEAR(Tabela1[[#This Row],[Data da Venda]])</f>
        <v>2013</v>
      </c>
    </row>
    <row r="918" spans="1:12" ht="15" hidden="1" customHeight="1">
      <c r="A918" s="149" t="s">
        <v>489</v>
      </c>
      <c r="B918" s="150" t="s">
        <v>490</v>
      </c>
      <c r="C918" s="187">
        <v>1518</v>
      </c>
      <c r="D918" s="187" t="s">
        <v>328</v>
      </c>
      <c r="E918" s="187" t="s">
        <v>340</v>
      </c>
      <c r="F918" s="188">
        <v>41597</v>
      </c>
      <c r="G918" s="188" t="s">
        <v>87</v>
      </c>
      <c r="H918" s="189" t="s">
        <v>460</v>
      </c>
      <c r="I918" s="189">
        <v>270140</v>
      </c>
      <c r="J918" s="190">
        <v>1</v>
      </c>
      <c r="K918" s="191">
        <f>MONTH(Tabela1[[#This Row],[Data da Venda]])</f>
        <v>11</v>
      </c>
      <c r="L918" s="191">
        <f>YEAR(Tabela1[[#This Row],[Data da Venda]])</f>
        <v>2013</v>
      </c>
    </row>
    <row r="919" spans="1:12" ht="15" hidden="1" customHeight="1">
      <c r="A919" s="149" t="s">
        <v>208</v>
      </c>
      <c r="B919" s="186" t="s">
        <v>388</v>
      </c>
      <c r="C919" s="187">
        <v>182</v>
      </c>
      <c r="D919" s="187" t="s">
        <v>329</v>
      </c>
      <c r="E919" s="187" t="s">
        <v>339</v>
      </c>
      <c r="F919" s="188">
        <v>41598</v>
      </c>
      <c r="G919" s="156" t="s">
        <v>337</v>
      </c>
      <c r="H919" s="189" t="s">
        <v>33</v>
      </c>
      <c r="I919" s="189">
        <v>290800</v>
      </c>
      <c r="J919" s="190">
        <v>1</v>
      </c>
      <c r="K919" s="191">
        <f>MONTH(Tabela1[[#This Row],[Data da Venda]])</f>
        <v>11</v>
      </c>
      <c r="L919" s="191">
        <f>YEAR(Tabela1[[#This Row],[Data da Venda]])</f>
        <v>2013</v>
      </c>
    </row>
    <row r="920" spans="1:12" ht="15" hidden="1" customHeight="1">
      <c r="A920" s="149" t="s">
        <v>489</v>
      </c>
      <c r="B920" s="150" t="s">
        <v>490</v>
      </c>
      <c r="C920" s="187">
        <v>7</v>
      </c>
      <c r="D920" s="187" t="s">
        <v>328</v>
      </c>
      <c r="E920" s="187" t="s">
        <v>340</v>
      </c>
      <c r="F920" s="188">
        <v>41598</v>
      </c>
      <c r="G920" s="188" t="s">
        <v>502</v>
      </c>
      <c r="H920" s="189" t="s">
        <v>460</v>
      </c>
      <c r="I920" s="189">
        <f>238254/2</f>
        <v>119127</v>
      </c>
      <c r="J920" s="190">
        <v>0.5</v>
      </c>
      <c r="K920" s="191">
        <f>MONTH(Tabela1[[#This Row],[Data da Venda]])</f>
        <v>11</v>
      </c>
      <c r="L920" s="191">
        <f>YEAR(Tabela1[[#This Row],[Data da Venda]])</f>
        <v>2013</v>
      </c>
    </row>
    <row r="921" spans="1:12" ht="15" hidden="1" customHeight="1">
      <c r="A921" s="149" t="s">
        <v>489</v>
      </c>
      <c r="B921" s="150" t="s">
        <v>490</v>
      </c>
      <c r="C921" s="187">
        <v>7</v>
      </c>
      <c r="D921" s="187" t="s">
        <v>328</v>
      </c>
      <c r="E921" s="187" t="s">
        <v>340</v>
      </c>
      <c r="F921" s="188">
        <v>41598</v>
      </c>
      <c r="G921" s="188" t="s">
        <v>501</v>
      </c>
      <c r="H921" s="189" t="s">
        <v>460</v>
      </c>
      <c r="I921" s="189">
        <f>238254/2</f>
        <v>119127</v>
      </c>
      <c r="J921" s="190">
        <v>0.5</v>
      </c>
      <c r="K921" s="191">
        <f>MONTH(Tabela1[[#This Row],[Data da Venda]])</f>
        <v>11</v>
      </c>
      <c r="L921" s="191">
        <f>YEAR(Tabela1[[#This Row],[Data da Venda]])</f>
        <v>2013</v>
      </c>
    </row>
    <row r="922" spans="1:12" ht="15" hidden="1" customHeight="1">
      <c r="A922" s="149" t="s">
        <v>489</v>
      </c>
      <c r="B922" s="150" t="s">
        <v>490</v>
      </c>
      <c r="C922" s="187">
        <v>519</v>
      </c>
      <c r="D922" s="187" t="s">
        <v>328</v>
      </c>
      <c r="E922" s="187" t="s">
        <v>340</v>
      </c>
      <c r="F922" s="188">
        <v>41598</v>
      </c>
      <c r="G922" s="188" t="s">
        <v>39</v>
      </c>
      <c r="H922" s="189" t="s">
        <v>27</v>
      </c>
      <c r="I922" s="189">
        <f>248707/2</f>
        <v>124353.5</v>
      </c>
      <c r="J922" s="190">
        <v>0.5</v>
      </c>
      <c r="K922" s="191">
        <f>MONTH(Tabela1[[#This Row],[Data da Venda]])</f>
        <v>11</v>
      </c>
      <c r="L922" s="191">
        <f>YEAR(Tabela1[[#This Row],[Data da Venda]])</f>
        <v>2013</v>
      </c>
    </row>
    <row r="923" spans="1:12" ht="15" hidden="1" customHeight="1">
      <c r="A923" s="149" t="s">
        <v>489</v>
      </c>
      <c r="B923" s="150" t="s">
        <v>490</v>
      </c>
      <c r="C923" s="187">
        <v>519</v>
      </c>
      <c r="D923" s="187" t="s">
        <v>328</v>
      </c>
      <c r="E923" s="187" t="s">
        <v>340</v>
      </c>
      <c r="F923" s="188">
        <v>41598</v>
      </c>
      <c r="G923" s="188" t="s">
        <v>78</v>
      </c>
      <c r="H923" s="189" t="s">
        <v>27</v>
      </c>
      <c r="I923" s="189">
        <f>248707/2</f>
        <v>124353.5</v>
      </c>
      <c r="J923" s="190">
        <v>0.5</v>
      </c>
      <c r="K923" s="191">
        <f>MONTH(Tabela1[[#This Row],[Data da Venda]])</f>
        <v>11</v>
      </c>
      <c r="L923" s="191">
        <f>YEAR(Tabela1[[#This Row],[Data da Venda]])</f>
        <v>2013</v>
      </c>
    </row>
    <row r="924" spans="1:12" ht="15" hidden="1" customHeight="1">
      <c r="A924" s="149" t="s">
        <v>489</v>
      </c>
      <c r="B924" s="150" t="s">
        <v>490</v>
      </c>
      <c r="C924" s="187">
        <v>801</v>
      </c>
      <c r="D924" s="187" t="s">
        <v>328</v>
      </c>
      <c r="E924" s="187" t="s">
        <v>340</v>
      </c>
      <c r="F924" s="188">
        <v>41598</v>
      </c>
      <c r="G924" s="188" t="s">
        <v>493</v>
      </c>
      <c r="H924" s="189" t="s">
        <v>460</v>
      </c>
      <c r="I924" s="189">
        <f>210000/2</f>
        <v>105000</v>
      </c>
      <c r="J924" s="190">
        <v>0.5</v>
      </c>
      <c r="K924" s="191">
        <f>MONTH(Tabela1[[#This Row],[Data da Venda]])</f>
        <v>11</v>
      </c>
      <c r="L924" s="191">
        <f>YEAR(Tabela1[[#This Row],[Data da Venda]])</f>
        <v>2013</v>
      </c>
    </row>
    <row r="925" spans="1:12" ht="15" hidden="1" customHeight="1">
      <c r="A925" s="149" t="s">
        <v>489</v>
      </c>
      <c r="B925" s="150" t="s">
        <v>490</v>
      </c>
      <c r="C925" s="187">
        <v>801</v>
      </c>
      <c r="D925" s="187" t="s">
        <v>328</v>
      </c>
      <c r="E925" s="187" t="s">
        <v>340</v>
      </c>
      <c r="F925" s="188">
        <v>41598</v>
      </c>
      <c r="G925" s="188" t="s">
        <v>224</v>
      </c>
      <c r="H925" s="189" t="s">
        <v>460</v>
      </c>
      <c r="I925" s="189">
        <f>210000/2</f>
        <v>105000</v>
      </c>
      <c r="J925" s="190">
        <v>0.5</v>
      </c>
      <c r="K925" s="191">
        <f>MONTH(Tabela1[[#This Row],[Data da Venda]])</f>
        <v>11</v>
      </c>
      <c r="L925" s="191">
        <f>YEAR(Tabela1[[#This Row],[Data da Venda]])</f>
        <v>2013</v>
      </c>
    </row>
    <row r="926" spans="1:12" ht="15" hidden="1" customHeight="1">
      <c r="A926" s="149" t="s">
        <v>489</v>
      </c>
      <c r="B926" s="150" t="s">
        <v>490</v>
      </c>
      <c r="C926" s="187">
        <v>1103</v>
      </c>
      <c r="D926" s="187" t="s">
        <v>329</v>
      </c>
      <c r="E926" s="187" t="s">
        <v>340</v>
      </c>
      <c r="F926" s="188">
        <v>41598</v>
      </c>
      <c r="G926" s="156" t="s">
        <v>465</v>
      </c>
      <c r="H926" s="189" t="s">
        <v>33</v>
      </c>
      <c r="I926" s="189">
        <v>267705.09999999998</v>
      </c>
      <c r="J926" s="190">
        <v>1</v>
      </c>
      <c r="K926" s="191">
        <f>MONTH(Tabela1[[#This Row],[Data da Venda]])</f>
        <v>11</v>
      </c>
      <c r="L926" s="191">
        <f>YEAR(Tabela1[[#This Row],[Data da Venda]])</f>
        <v>2013</v>
      </c>
    </row>
    <row r="927" spans="1:12" ht="15" hidden="1" customHeight="1">
      <c r="A927" s="149" t="s">
        <v>489</v>
      </c>
      <c r="B927" s="150" t="s">
        <v>490</v>
      </c>
      <c r="C927" s="187">
        <v>1203</v>
      </c>
      <c r="D927" s="187" t="s">
        <v>328</v>
      </c>
      <c r="E927" s="187" t="s">
        <v>340</v>
      </c>
      <c r="F927" s="188">
        <v>41598</v>
      </c>
      <c r="G927" s="188" t="s">
        <v>312</v>
      </c>
      <c r="H927" s="189" t="s">
        <v>24</v>
      </c>
      <c r="I927" s="189">
        <v>267700</v>
      </c>
      <c r="J927" s="190">
        <v>1</v>
      </c>
      <c r="K927" s="191">
        <f>MONTH(Tabela1[[#This Row],[Data da Venda]])</f>
        <v>11</v>
      </c>
      <c r="L927" s="191">
        <f>YEAR(Tabela1[[#This Row],[Data da Venda]])</f>
        <v>2013</v>
      </c>
    </row>
    <row r="928" spans="1:12" ht="15" hidden="1" customHeight="1">
      <c r="A928" s="149" t="s">
        <v>489</v>
      </c>
      <c r="B928" s="150" t="s">
        <v>490</v>
      </c>
      <c r="C928" s="187">
        <v>1417</v>
      </c>
      <c r="D928" s="187" t="s">
        <v>328</v>
      </c>
      <c r="E928" s="187" t="s">
        <v>340</v>
      </c>
      <c r="F928" s="188">
        <v>41598</v>
      </c>
      <c r="G928" s="188" t="s">
        <v>379</v>
      </c>
      <c r="H928" s="189" t="s">
        <v>25</v>
      </c>
      <c r="I928" s="189">
        <v>272309.21999999997</v>
      </c>
      <c r="J928" s="190">
        <v>1</v>
      </c>
      <c r="K928" s="191">
        <f>MONTH(Tabela1[[#This Row],[Data da Venda]])</f>
        <v>11</v>
      </c>
      <c r="L928" s="191">
        <f>YEAR(Tabela1[[#This Row],[Data da Venda]])</f>
        <v>2013</v>
      </c>
    </row>
    <row r="929" spans="1:12" ht="15" hidden="1" customHeight="1">
      <c r="A929" s="149" t="s">
        <v>489</v>
      </c>
      <c r="B929" s="150" t="s">
        <v>490</v>
      </c>
      <c r="C929" s="187">
        <v>1419</v>
      </c>
      <c r="D929" s="187" t="s">
        <v>328</v>
      </c>
      <c r="E929" s="187" t="s">
        <v>340</v>
      </c>
      <c r="F929" s="188">
        <v>41598</v>
      </c>
      <c r="G929" s="188" t="s">
        <v>172</v>
      </c>
      <c r="H929" s="189" t="s">
        <v>24</v>
      </c>
      <c r="I929" s="189">
        <v>273039</v>
      </c>
      <c r="J929" s="190">
        <v>1</v>
      </c>
      <c r="K929" s="191">
        <f>MONTH(Tabela1[[#This Row],[Data da Venda]])</f>
        <v>11</v>
      </c>
      <c r="L929" s="191">
        <f>YEAR(Tabela1[[#This Row],[Data da Venda]])</f>
        <v>2013</v>
      </c>
    </row>
    <row r="930" spans="1:12" ht="15" hidden="1" customHeight="1">
      <c r="A930" s="149" t="s">
        <v>489</v>
      </c>
      <c r="B930" s="150" t="s">
        <v>490</v>
      </c>
      <c r="C930" s="187">
        <v>1517</v>
      </c>
      <c r="D930" s="187" t="s">
        <v>328</v>
      </c>
      <c r="E930" s="187" t="s">
        <v>340</v>
      </c>
      <c r="F930" s="188">
        <v>41598</v>
      </c>
      <c r="G930" s="188" t="s">
        <v>281</v>
      </c>
      <c r="H930" s="189" t="s">
        <v>460</v>
      </c>
      <c r="I930" s="189">
        <v>267000</v>
      </c>
      <c r="J930" s="190">
        <v>1</v>
      </c>
      <c r="K930" s="191">
        <f>MONTH(Tabela1[[#This Row],[Data da Venda]])</f>
        <v>11</v>
      </c>
      <c r="L930" s="191">
        <f>YEAR(Tabela1[[#This Row],[Data da Venda]])</f>
        <v>2013</v>
      </c>
    </row>
    <row r="931" spans="1:12" ht="15" hidden="1" customHeight="1">
      <c r="A931" s="185" t="s">
        <v>425</v>
      </c>
      <c r="B931" s="186" t="s">
        <v>486</v>
      </c>
      <c r="C931" s="187">
        <v>65</v>
      </c>
      <c r="D931" s="187" t="s">
        <v>328</v>
      </c>
      <c r="E931" s="187" t="s">
        <v>340</v>
      </c>
      <c r="F931" s="188">
        <v>41599</v>
      </c>
      <c r="G931" s="188" t="s">
        <v>286</v>
      </c>
      <c r="H931" s="189" t="s">
        <v>61</v>
      </c>
      <c r="I931" s="189">
        <v>402316.36</v>
      </c>
      <c r="J931" s="190">
        <v>1</v>
      </c>
      <c r="K931" s="191">
        <f>MONTH(Tabela1[[#This Row],[Data da Venda]])</f>
        <v>11</v>
      </c>
      <c r="L931" s="191">
        <f>YEAR(Tabela1[[#This Row],[Data da Venda]])</f>
        <v>2013</v>
      </c>
    </row>
    <row r="932" spans="1:12" ht="15" hidden="1" customHeight="1">
      <c r="A932" s="149" t="s">
        <v>489</v>
      </c>
      <c r="B932" s="150" t="s">
        <v>490</v>
      </c>
      <c r="C932" s="187">
        <v>1</v>
      </c>
      <c r="D932" s="187" t="s">
        <v>328</v>
      </c>
      <c r="E932" s="187" t="s">
        <v>340</v>
      </c>
      <c r="F932" s="188">
        <v>41599</v>
      </c>
      <c r="G932" s="188" t="s">
        <v>308</v>
      </c>
      <c r="H932" s="189" t="s">
        <v>26</v>
      </c>
      <c r="I932" s="189">
        <v>205500</v>
      </c>
      <c r="J932" s="190">
        <v>1</v>
      </c>
      <c r="K932" s="191">
        <f>MONTH(Tabela1[[#This Row],[Data da Venda]])</f>
        <v>11</v>
      </c>
      <c r="L932" s="191">
        <f>YEAR(Tabela1[[#This Row],[Data da Venda]])</f>
        <v>2013</v>
      </c>
    </row>
    <row r="933" spans="1:12" ht="15" hidden="1" customHeight="1">
      <c r="A933" s="149" t="s">
        <v>489</v>
      </c>
      <c r="B933" s="150" t="s">
        <v>490</v>
      </c>
      <c r="C933" s="187">
        <v>4</v>
      </c>
      <c r="D933" s="187" t="s">
        <v>328</v>
      </c>
      <c r="E933" s="187" t="s">
        <v>340</v>
      </c>
      <c r="F933" s="188">
        <v>41599</v>
      </c>
      <c r="G933" s="188" t="s">
        <v>308</v>
      </c>
      <c r="H933" s="189" t="s">
        <v>26</v>
      </c>
      <c r="I933" s="189">
        <v>210000</v>
      </c>
      <c r="J933" s="190">
        <v>1</v>
      </c>
      <c r="K933" s="191">
        <f>MONTH(Tabela1[[#This Row],[Data da Venda]])</f>
        <v>11</v>
      </c>
      <c r="L933" s="191">
        <f>YEAR(Tabela1[[#This Row],[Data da Venda]])</f>
        <v>2013</v>
      </c>
    </row>
    <row r="934" spans="1:12" ht="15" hidden="1" customHeight="1">
      <c r="A934" s="149" t="s">
        <v>489</v>
      </c>
      <c r="B934" s="150" t="s">
        <v>490</v>
      </c>
      <c r="C934" s="187">
        <v>510</v>
      </c>
      <c r="D934" s="187" t="s">
        <v>328</v>
      </c>
      <c r="E934" s="187" t="s">
        <v>340</v>
      </c>
      <c r="F934" s="188">
        <v>41599</v>
      </c>
      <c r="G934" s="188" t="s">
        <v>307</v>
      </c>
      <c r="H934" s="189" t="s">
        <v>24</v>
      </c>
      <c r="I934" s="189">
        <f>241000/2</f>
        <v>120500</v>
      </c>
      <c r="J934" s="190">
        <v>0.5</v>
      </c>
      <c r="K934" s="191">
        <f>MONTH(Tabela1[[#This Row],[Data da Venda]])</f>
        <v>11</v>
      </c>
      <c r="L934" s="191">
        <f>YEAR(Tabela1[[#This Row],[Data da Venda]])</f>
        <v>2013</v>
      </c>
    </row>
    <row r="935" spans="1:12" ht="15" hidden="1" customHeight="1">
      <c r="A935" s="149" t="s">
        <v>489</v>
      </c>
      <c r="B935" s="150" t="s">
        <v>490</v>
      </c>
      <c r="C935" s="187">
        <v>510</v>
      </c>
      <c r="D935" s="187" t="s">
        <v>328</v>
      </c>
      <c r="E935" s="187" t="s">
        <v>340</v>
      </c>
      <c r="F935" s="188">
        <v>41599</v>
      </c>
      <c r="G935" s="188" t="s">
        <v>172</v>
      </c>
      <c r="H935" s="189" t="s">
        <v>24</v>
      </c>
      <c r="I935" s="189">
        <f>241000/2</f>
        <v>120500</v>
      </c>
      <c r="J935" s="190">
        <v>0.5</v>
      </c>
      <c r="K935" s="191">
        <f>MONTH(Tabela1[[#This Row],[Data da Venda]])</f>
        <v>11</v>
      </c>
      <c r="L935" s="191">
        <f>YEAR(Tabela1[[#This Row],[Data da Venda]])</f>
        <v>2013</v>
      </c>
    </row>
    <row r="936" spans="1:12" ht="15" hidden="1" customHeight="1">
      <c r="A936" s="149" t="s">
        <v>489</v>
      </c>
      <c r="B936" s="150" t="s">
        <v>490</v>
      </c>
      <c r="C936" s="187">
        <v>701</v>
      </c>
      <c r="D936" s="187" t="s">
        <v>328</v>
      </c>
      <c r="E936" s="187" t="s">
        <v>340</v>
      </c>
      <c r="F936" s="188">
        <v>41599</v>
      </c>
      <c r="G936" s="188" t="s">
        <v>18</v>
      </c>
      <c r="H936" s="189" t="s">
        <v>25</v>
      </c>
      <c r="I936" s="189">
        <v>253500</v>
      </c>
      <c r="J936" s="190">
        <v>1</v>
      </c>
      <c r="K936" s="191">
        <f>MONTH(Tabela1[[#This Row],[Data da Venda]])</f>
        <v>11</v>
      </c>
      <c r="L936" s="191">
        <f>YEAR(Tabela1[[#This Row],[Data da Venda]])</f>
        <v>2013</v>
      </c>
    </row>
    <row r="937" spans="1:12" ht="15" hidden="1" customHeight="1">
      <c r="A937" s="149" t="s">
        <v>489</v>
      </c>
      <c r="B937" s="150" t="s">
        <v>490</v>
      </c>
      <c r="C937" s="187">
        <v>805</v>
      </c>
      <c r="D937" s="187" t="s">
        <v>328</v>
      </c>
      <c r="E937" s="187" t="s">
        <v>340</v>
      </c>
      <c r="F937" s="188">
        <v>41599</v>
      </c>
      <c r="G937" s="188" t="s">
        <v>497</v>
      </c>
      <c r="H937" s="189" t="s">
        <v>24</v>
      </c>
      <c r="I937" s="189">
        <v>352502.5</v>
      </c>
      <c r="J937" s="190">
        <v>1</v>
      </c>
      <c r="K937" s="191">
        <f>MONTH(Tabela1[[#This Row],[Data da Venda]])</f>
        <v>11</v>
      </c>
      <c r="L937" s="191">
        <f>YEAR(Tabela1[[#This Row],[Data da Venda]])</f>
        <v>2013</v>
      </c>
    </row>
    <row r="938" spans="1:12" ht="15" hidden="1" customHeight="1">
      <c r="A938" s="149" t="s">
        <v>489</v>
      </c>
      <c r="B938" s="150" t="s">
        <v>490</v>
      </c>
      <c r="C938" s="187">
        <v>916</v>
      </c>
      <c r="D938" s="187" t="s">
        <v>328</v>
      </c>
      <c r="E938" s="187" t="s">
        <v>340</v>
      </c>
      <c r="F938" s="188">
        <v>41599</v>
      </c>
      <c r="G938" s="188" t="s">
        <v>497</v>
      </c>
      <c r="H938" s="189" t="s">
        <v>24</v>
      </c>
      <c r="I938" s="189">
        <v>352502.5</v>
      </c>
      <c r="J938" s="190">
        <v>1</v>
      </c>
      <c r="K938" s="191">
        <f>MONTH(Tabela1[[#This Row],[Data da Venda]])</f>
        <v>11</v>
      </c>
      <c r="L938" s="191">
        <f>YEAR(Tabela1[[#This Row],[Data da Venda]])</f>
        <v>2013</v>
      </c>
    </row>
    <row r="939" spans="1:12" ht="15" hidden="1" customHeight="1">
      <c r="A939" s="149" t="s">
        <v>489</v>
      </c>
      <c r="B939" s="150" t="s">
        <v>490</v>
      </c>
      <c r="C939" s="187">
        <v>1104</v>
      </c>
      <c r="D939" s="187" t="s">
        <v>328</v>
      </c>
      <c r="E939" s="187" t="s">
        <v>340</v>
      </c>
      <c r="F939" s="188">
        <v>41599</v>
      </c>
      <c r="G939" s="188" t="s">
        <v>140</v>
      </c>
      <c r="H939" s="189" t="s">
        <v>460</v>
      </c>
      <c r="I939" s="189">
        <f>268141.25/2</f>
        <v>134070.625</v>
      </c>
      <c r="J939" s="190">
        <v>0.5</v>
      </c>
      <c r="K939" s="191">
        <f>MONTH(Tabela1[[#This Row],[Data da Venda]])</f>
        <v>11</v>
      </c>
      <c r="L939" s="191">
        <f>YEAR(Tabela1[[#This Row],[Data da Venda]])</f>
        <v>2013</v>
      </c>
    </row>
    <row r="940" spans="1:12" ht="15" hidden="1" customHeight="1">
      <c r="A940" s="149" t="s">
        <v>489</v>
      </c>
      <c r="B940" s="150" t="s">
        <v>490</v>
      </c>
      <c r="C940" s="187">
        <v>1104</v>
      </c>
      <c r="D940" s="187" t="s">
        <v>328</v>
      </c>
      <c r="E940" s="187" t="s">
        <v>340</v>
      </c>
      <c r="F940" s="188">
        <v>41599</v>
      </c>
      <c r="G940" s="188" t="s">
        <v>194</v>
      </c>
      <c r="H940" s="189" t="s">
        <v>27</v>
      </c>
      <c r="I940" s="189">
        <f>268141.25/2</f>
        <v>134070.625</v>
      </c>
      <c r="J940" s="190">
        <v>0.5</v>
      </c>
      <c r="K940" s="191">
        <f>MONTH(Tabela1[[#This Row],[Data da Venda]])</f>
        <v>11</v>
      </c>
      <c r="L940" s="191">
        <f>YEAR(Tabela1[[#This Row],[Data da Venda]])</f>
        <v>2013</v>
      </c>
    </row>
    <row r="941" spans="1:12" ht="15" hidden="1" customHeight="1">
      <c r="A941" s="149" t="s">
        <v>489</v>
      </c>
      <c r="B941" s="150" t="s">
        <v>490</v>
      </c>
      <c r="C941" s="187">
        <v>1401</v>
      </c>
      <c r="D941" s="187" t="s">
        <v>329</v>
      </c>
      <c r="E941" s="187" t="s">
        <v>340</v>
      </c>
      <c r="F941" s="188">
        <v>41599</v>
      </c>
      <c r="G941" s="156" t="s">
        <v>464</v>
      </c>
      <c r="H941" s="189" t="s">
        <v>33</v>
      </c>
      <c r="I941" s="189">
        <v>271220</v>
      </c>
      <c r="J941" s="190">
        <v>1</v>
      </c>
      <c r="K941" s="191">
        <f>MONTH(Tabela1[[#This Row],[Data da Venda]])</f>
        <v>11</v>
      </c>
      <c r="L941" s="191">
        <f>YEAR(Tabela1[[#This Row],[Data da Venda]])</f>
        <v>2013</v>
      </c>
    </row>
    <row r="942" spans="1:12" ht="15" hidden="1" customHeight="1">
      <c r="A942" s="149" t="s">
        <v>489</v>
      </c>
      <c r="B942" s="150" t="s">
        <v>490</v>
      </c>
      <c r="C942" s="187">
        <v>1502</v>
      </c>
      <c r="D942" s="187" t="s">
        <v>328</v>
      </c>
      <c r="E942" s="187" t="s">
        <v>340</v>
      </c>
      <c r="F942" s="188">
        <v>41599</v>
      </c>
      <c r="G942" s="188" t="s">
        <v>309</v>
      </c>
      <c r="H942" s="189" t="s">
        <v>26</v>
      </c>
      <c r="I942" s="189">
        <v>225000</v>
      </c>
      <c r="J942" s="190">
        <v>1</v>
      </c>
      <c r="K942" s="191">
        <f>MONTH(Tabela1[[#This Row],[Data da Venda]])</f>
        <v>11</v>
      </c>
      <c r="L942" s="191">
        <f>YEAR(Tabela1[[#This Row],[Data da Venda]])</f>
        <v>2013</v>
      </c>
    </row>
    <row r="943" spans="1:12" ht="15" hidden="1" customHeight="1">
      <c r="A943" s="149" t="s">
        <v>489</v>
      </c>
      <c r="B943" s="150" t="s">
        <v>490</v>
      </c>
      <c r="C943" s="187">
        <v>1717</v>
      </c>
      <c r="D943" s="187" t="s">
        <v>329</v>
      </c>
      <c r="E943" s="187" t="s">
        <v>340</v>
      </c>
      <c r="F943" s="188">
        <v>41599</v>
      </c>
      <c r="G943" s="156" t="s">
        <v>337</v>
      </c>
      <c r="H943" s="189" t="s">
        <v>33</v>
      </c>
      <c r="I943" s="189">
        <v>272309.23</v>
      </c>
      <c r="J943" s="190">
        <v>1</v>
      </c>
      <c r="K943" s="191">
        <f>MONTH(Tabela1[[#This Row],[Data da Venda]])</f>
        <v>11</v>
      </c>
      <c r="L943" s="191">
        <f>YEAR(Tabela1[[#This Row],[Data da Venda]])</f>
        <v>2013</v>
      </c>
    </row>
    <row r="944" spans="1:12" ht="15" hidden="1" customHeight="1">
      <c r="A944" s="185" t="s">
        <v>489</v>
      </c>
      <c r="B944" s="186" t="s">
        <v>490</v>
      </c>
      <c r="C944" s="187">
        <v>1209</v>
      </c>
      <c r="D944" s="187" t="s">
        <v>328</v>
      </c>
      <c r="E944" s="187" t="s">
        <v>340</v>
      </c>
      <c r="F944" s="188">
        <v>41600</v>
      </c>
      <c r="G944" s="188" t="s">
        <v>500</v>
      </c>
      <c r="H944" s="189" t="s">
        <v>460</v>
      </c>
      <c r="I944" s="189">
        <v>235000</v>
      </c>
      <c r="J944" s="190">
        <v>1</v>
      </c>
      <c r="K944" s="191">
        <f>MONTH(Tabela1[[#This Row],[Data da Venda]])</f>
        <v>11</v>
      </c>
      <c r="L944" s="191">
        <f>YEAR(Tabela1[[#This Row],[Data da Venda]])</f>
        <v>2013</v>
      </c>
    </row>
    <row r="945" spans="1:12" ht="15" hidden="1" customHeight="1">
      <c r="A945" s="149" t="s">
        <v>489</v>
      </c>
      <c r="B945" s="150" t="s">
        <v>490</v>
      </c>
      <c r="C945" s="187">
        <v>1304</v>
      </c>
      <c r="D945" s="187" t="s">
        <v>328</v>
      </c>
      <c r="E945" s="187" t="s">
        <v>340</v>
      </c>
      <c r="F945" s="188">
        <v>41600</v>
      </c>
      <c r="G945" s="188" t="s">
        <v>309</v>
      </c>
      <c r="H945" s="189" t="s">
        <v>26</v>
      </c>
      <c r="I945" s="189">
        <v>267300</v>
      </c>
      <c r="J945" s="190">
        <v>1</v>
      </c>
      <c r="K945" s="191">
        <f>MONTH(Tabela1[[#This Row],[Data da Venda]])</f>
        <v>11</v>
      </c>
      <c r="L945" s="191">
        <f>YEAR(Tabela1[[#This Row],[Data da Venda]])</f>
        <v>2013</v>
      </c>
    </row>
    <row r="946" spans="1:12" ht="15" hidden="1" customHeight="1">
      <c r="A946" s="149" t="s">
        <v>489</v>
      </c>
      <c r="B946" s="150" t="s">
        <v>490</v>
      </c>
      <c r="C946" s="187">
        <v>1504</v>
      </c>
      <c r="D946" s="187" t="s">
        <v>328</v>
      </c>
      <c r="E946" s="187" t="s">
        <v>340</v>
      </c>
      <c r="F946" s="188">
        <v>41600</v>
      </c>
      <c r="G946" s="188" t="s">
        <v>197</v>
      </c>
      <c r="H946" s="189" t="s">
        <v>23</v>
      </c>
      <c r="I946" s="189">
        <v>272380.5</v>
      </c>
      <c r="J946" s="190">
        <v>1</v>
      </c>
      <c r="K946" s="191">
        <f>MONTH(Tabela1[[#This Row],[Data da Venda]])</f>
        <v>11</v>
      </c>
      <c r="L946" s="191">
        <f>YEAR(Tabela1[[#This Row],[Data da Venda]])</f>
        <v>2013</v>
      </c>
    </row>
    <row r="947" spans="1:12" ht="15" hidden="1" customHeight="1">
      <c r="A947" s="185" t="s">
        <v>425</v>
      </c>
      <c r="B947" s="186" t="s">
        <v>394</v>
      </c>
      <c r="C947" s="187">
        <v>5</v>
      </c>
      <c r="D947" s="187" t="s">
        <v>328</v>
      </c>
      <c r="E947" s="187" t="s">
        <v>340</v>
      </c>
      <c r="F947" s="188">
        <v>41601</v>
      </c>
      <c r="G947" s="188" t="s">
        <v>197</v>
      </c>
      <c r="H947" s="189" t="s">
        <v>23</v>
      </c>
      <c r="I947" s="189">
        <f>382800/2</f>
        <v>191400</v>
      </c>
      <c r="J947" s="190">
        <v>0.5</v>
      </c>
      <c r="K947" s="191">
        <f>MONTH(Tabela1[[#This Row],[Data da Venda]])</f>
        <v>11</v>
      </c>
      <c r="L947" s="191">
        <f>YEAR(Tabela1[[#This Row],[Data da Venda]])</f>
        <v>2013</v>
      </c>
    </row>
    <row r="948" spans="1:12" ht="15" hidden="1" customHeight="1">
      <c r="A948" s="185" t="s">
        <v>425</v>
      </c>
      <c r="B948" s="186" t="s">
        <v>394</v>
      </c>
      <c r="C948" s="187">
        <v>5</v>
      </c>
      <c r="D948" s="187" t="s">
        <v>328</v>
      </c>
      <c r="E948" s="187" t="s">
        <v>340</v>
      </c>
      <c r="F948" s="188">
        <v>41601</v>
      </c>
      <c r="G948" s="188" t="s">
        <v>22</v>
      </c>
      <c r="H948" s="189" t="s">
        <v>23</v>
      </c>
      <c r="I948" s="189">
        <f>382800/2</f>
        <v>191400</v>
      </c>
      <c r="J948" s="190">
        <v>0.5</v>
      </c>
      <c r="K948" s="191">
        <f>MONTH(Tabela1[[#This Row],[Data da Venda]])</f>
        <v>11</v>
      </c>
      <c r="L948" s="191">
        <f>YEAR(Tabela1[[#This Row],[Data da Venda]])</f>
        <v>2013</v>
      </c>
    </row>
    <row r="949" spans="1:12" ht="15" hidden="1" customHeight="1">
      <c r="A949" s="149" t="s">
        <v>208</v>
      </c>
      <c r="B949" s="186" t="s">
        <v>399</v>
      </c>
      <c r="C949" s="187">
        <v>144</v>
      </c>
      <c r="D949" s="187" t="s">
        <v>328</v>
      </c>
      <c r="E949" s="187" t="s">
        <v>339</v>
      </c>
      <c r="F949" s="188">
        <v>41602</v>
      </c>
      <c r="G949" s="188" t="s">
        <v>502</v>
      </c>
      <c r="H949" s="189" t="s">
        <v>460</v>
      </c>
      <c r="I949" s="189">
        <f>266350/2</f>
        <v>133175</v>
      </c>
      <c r="J949" s="190">
        <v>0.5</v>
      </c>
      <c r="K949" s="191">
        <f>MONTH(Tabela1[[#This Row],[Data da Venda]])</f>
        <v>11</v>
      </c>
      <c r="L949" s="191">
        <f>YEAR(Tabela1[[#This Row],[Data da Venda]])</f>
        <v>2013</v>
      </c>
    </row>
    <row r="950" spans="1:12" ht="15" hidden="1" customHeight="1">
      <c r="A950" s="149" t="s">
        <v>208</v>
      </c>
      <c r="B950" s="186" t="s">
        <v>399</v>
      </c>
      <c r="C950" s="187">
        <v>144</v>
      </c>
      <c r="D950" s="187" t="s">
        <v>328</v>
      </c>
      <c r="E950" s="187" t="s">
        <v>339</v>
      </c>
      <c r="F950" s="188">
        <v>41602</v>
      </c>
      <c r="G950" s="188" t="s">
        <v>501</v>
      </c>
      <c r="H950" s="189" t="s">
        <v>460</v>
      </c>
      <c r="I950" s="189">
        <f>266350/2</f>
        <v>133175</v>
      </c>
      <c r="J950" s="190">
        <v>0.5</v>
      </c>
      <c r="K950" s="191">
        <f>MONTH(Tabela1[[#This Row],[Data da Venda]])</f>
        <v>11</v>
      </c>
      <c r="L950" s="191">
        <f>YEAR(Tabela1[[#This Row],[Data da Venda]])</f>
        <v>2013</v>
      </c>
    </row>
    <row r="951" spans="1:12" ht="15" hidden="1" customHeight="1">
      <c r="A951" s="185" t="s">
        <v>489</v>
      </c>
      <c r="B951" s="186" t="s">
        <v>490</v>
      </c>
      <c r="C951" s="187">
        <v>2</v>
      </c>
      <c r="D951" s="155" t="s">
        <v>328</v>
      </c>
      <c r="E951" s="155" t="s">
        <v>340</v>
      </c>
      <c r="F951" s="188">
        <v>41602</v>
      </c>
      <c r="G951" s="156" t="s">
        <v>237</v>
      </c>
      <c r="H951" s="157" t="s">
        <v>27</v>
      </c>
      <c r="I951" s="189">
        <f>253891/2</f>
        <v>126945.5</v>
      </c>
      <c r="J951" s="190">
        <v>0.5</v>
      </c>
      <c r="K951" s="191">
        <f>MONTH(Tabela1[[#This Row],[Data da Venda]])</f>
        <v>11</v>
      </c>
      <c r="L951" s="191">
        <f>YEAR(Tabela1[[#This Row],[Data da Venda]])</f>
        <v>2013</v>
      </c>
    </row>
    <row r="952" spans="1:12" ht="15" hidden="1" customHeight="1">
      <c r="A952" s="185" t="s">
        <v>489</v>
      </c>
      <c r="B952" s="186" t="s">
        <v>490</v>
      </c>
      <c r="C952" s="187">
        <v>2</v>
      </c>
      <c r="D952" s="155" t="s">
        <v>328</v>
      </c>
      <c r="E952" s="155" t="s">
        <v>340</v>
      </c>
      <c r="F952" s="188">
        <v>41602</v>
      </c>
      <c r="G952" s="188" t="s">
        <v>39</v>
      </c>
      <c r="H952" s="157" t="s">
        <v>27</v>
      </c>
      <c r="I952" s="189">
        <f>253891/2</f>
        <v>126945.5</v>
      </c>
      <c r="J952" s="190">
        <v>0.5</v>
      </c>
      <c r="K952" s="191">
        <f>MONTH(Tabela1[[#This Row],[Data da Venda]])</f>
        <v>11</v>
      </c>
      <c r="L952" s="191">
        <f>YEAR(Tabela1[[#This Row],[Data da Venda]])</f>
        <v>2013</v>
      </c>
    </row>
    <row r="953" spans="1:12" ht="15" hidden="1" customHeight="1">
      <c r="A953" s="185" t="s">
        <v>489</v>
      </c>
      <c r="B953" s="186" t="s">
        <v>490</v>
      </c>
      <c r="C953" s="187">
        <v>3</v>
      </c>
      <c r="D953" s="187" t="s">
        <v>328</v>
      </c>
      <c r="E953" s="187" t="s">
        <v>340</v>
      </c>
      <c r="F953" s="188">
        <v>41602</v>
      </c>
      <c r="G953" s="156" t="s">
        <v>237</v>
      </c>
      <c r="H953" s="189" t="s">
        <v>27</v>
      </c>
      <c r="I953" s="189">
        <f>253891/2</f>
        <v>126945.5</v>
      </c>
      <c r="J953" s="190">
        <v>0.5</v>
      </c>
      <c r="K953" s="191">
        <f>MONTH(Tabela1[[#This Row],[Data da Venda]])</f>
        <v>11</v>
      </c>
      <c r="L953" s="191">
        <f>YEAR(Tabela1[[#This Row],[Data da Venda]])</f>
        <v>2013</v>
      </c>
    </row>
    <row r="954" spans="1:12" ht="15" hidden="1" customHeight="1">
      <c r="A954" s="185" t="s">
        <v>489</v>
      </c>
      <c r="B954" s="186" t="s">
        <v>490</v>
      </c>
      <c r="C954" s="187">
        <v>3</v>
      </c>
      <c r="D954" s="187" t="s">
        <v>328</v>
      </c>
      <c r="E954" s="187" t="s">
        <v>340</v>
      </c>
      <c r="F954" s="188">
        <v>41602</v>
      </c>
      <c r="G954" s="188" t="s">
        <v>39</v>
      </c>
      <c r="H954" s="189" t="s">
        <v>27</v>
      </c>
      <c r="I954" s="189">
        <f>253891/2</f>
        <v>126945.5</v>
      </c>
      <c r="J954" s="190">
        <v>0.5</v>
      </c>
      <c r="K954" s="191">
        <f>MONTH(Tabela1[[#This Row],[Data da Venda]])</f>
        <v>11</v>
      </c>
      <c r="L954" s="191">
        <f>YEAR(Tabela1[[#This Row],[Data da Venda]])</f>
        <v>2013</v>
      </c>
    </row>
    <row r="955" spans="1:12" ht="15" hidden="1" customHeight="1">
      <c r="A955" s="149" t="s">
        <v>489</v>
      </c>
      <c r="B955" s="150" t="s">
        <v>490</v>
      </c>
      <c r="C955" s="187">
        <v>418</v>
      </c>
      <c r="D955" s="187" t="s">
        <v>329</v>
      </c>
      <c r="E955" s="187" t="s">
        <v>340</v>
      </c>
      <c r="F955" s="188">
        <v>41602</v>
      </c>
      <c r="G955" s="156" t="s">
        <v>337</v>
      </c>
      <c r="H955" s="189" t="s">
        <v>33</v>
      </c>
      <c r="I955" s="189">
        <v>210000</v>
      </c>
      <c r="J955" s="190">
        <v>1</v>
      </c>
      <c r="K955" s="191">
        <f>MONTH(Tabela1[[#This Row],[Data da Venda]])</f>
        <v>11</v>
      </c>
      <c r="L955" s="191">
        <f>YEAR(Tabela1[[#This Row],[Data da Venda]])</f>
        <v>2013</v>
      </c>
    </row>
    <row r="956" spans="1:12" ht="15" hidden="1" customHeight="1">
      <c r="A956" s="149" t="s">
        <v>489</v>
      </c>
      <c r="B956" s="150" t="s">
        <v>490</v>
      </c>
      <c r="C956" s="187">
        <v>803</v>
      </c>
      <c r="D956" s="187" t="s">
        <v>328</v>
      </c>
      <c r="E956" s="187" t="s">
        <v>340</v>
      </c>
      <c r="F956" s="188">
        <v>41602</v>
      </c>
      <c r="G956" s="188" t="s">
        <v>307</v>
      </c>
      <c r="H956" s="189" t="s">
        <v>24</v>
      </c>
      <c r="I956" s="189">
        <f>261000/2</f>
        <v>130500</v>
      </c>
      <c r="J956" s="190">
        <v>0.5</v>
      </c>
      <c r="K956" s="191">
        <f>MONTH(Tabela1[[#This Row],[Data da Venda]])</f>
        <v>11</v>
      </c>
      <c r="L956" s="191">
        <f>YEAR(Tabela1[[#This Row],[Data da Venda]])</f>
        <v>2013</v>
      </c>
    </row>
    <row r="957" spans="1:12" ht="15" hidden="1" customHeight="1">
      <c r="A957" s="149" t="s">
        <v>489</v>
      </c>
      <c r="B957" s="150" t="s">
        <v>490</v>
      </c>
      <c r="C957" s="187">
        <v>803</v>
      </c>
      <c r="D957" s="187" t="s">
        <v>328</v>
      </c>
      <c r="E957" s="187" t="s">
        <v>340</v>
      </c>
      <c r="F957" s="188">
        <v>41602</v>
      </c>
      <c r="G957" s="188" t="s">
        <v>497</v>
      </c>
      <c r="H957" s="189" t="s">
        <v>24</v>
      </c>
      <c r="I957" s="189">
        <f>261000/2</f>
        <v>130500</v>
      </c>
      <c r="J957" s="190">
        <v>0.5</v>
      </c>
      <c r="K957" s="191">
        <f>MONTH(Tabela1[[#This Row],[Data da Venda]])</f>
        <v>11</v>
      </c>
      <c r="L957" s="191">
        <f>YEAR(Tabela1[[#This Row],[Data da Venda]])</f>
        <v>2013</v>
      </c>
    </row>
    <row r="958" spans="1:12" ht="15" hidden="1" customHeight="1">
      <c r="A958" s="149" t="s">
        <v>489</v>
      </c>
      <c r="B958" s="150" t="s">
        <v>490</v>
      </c>
      <c r="C958" s="187">
        <v>1102</v>
      </c>
      <c r="D958" s="187" t="s">
        <v>328</v>
      </c>
      <c r="E958" s="187" t="s">
        <v>340</v>
      </c>
      <c r="F958" s="188">
        <v>41602</v>
      </c>
      <c r="G958" s="188" t="s">
        <v>494</v>
      </c>
      <c r="H958" s="189" t="s">
        <v>61</v>
      </c>
      <c r="I958" s="189">
        <f>268636.87/2</f>
        <v>134318.435</v>
      </c>
      <c r="J958" s="190">
        <v>0.5</v>
      </c>
      <c r="K958" s="191">
        <f>MONTH(Tabela1[[#This Row],[Data da Venda]])</f>
        <v>11</v>
      </c>
      <c r="L958" s="191">
        <f>YEAR(Tabela1[[#This Row],[Data da Venda]])</f>
        <v>2013</v>
      </c>
    </row>
    <row r="959" spans="1:12" ht="15" hidden="1" customHeight="1">
      <c r="A959" s="149" t="s">
        <v>489</v>
      </c>
      <c r="B959" s="150" t="s">
        <v>490</v>
      </c>
      <c r="C959" s="187">
        <v>1102</v>
      </c>
      <c r="D959" s="187" t="s">
        <v>328</v>
      </c>
      <c r="E959" s="187" t="s">
        <v>340</v>
      </c>
      <c r="F959" s="188">
        <v>41602</v>
      </c>
      <c r="G959" s="188" t="s">
        <v>84</v>
      </c>
      <c r="H959" s="189" t="s">
        <v>61</v>
      </c>
      <c r="I959" s="189">
        <f>268636.87/2</f>
        <v>134318.435</v>
      </c>
      <c r="J959" s="190">
        <v>0.5</v>
      </c>
      <c r="K959" s="191">
        <f>MONTH(Tabela1[[#This Row],[Data da Venda]])</f>
        <v>11</v>
      </c>
      <c r="L959" s="191">
        <f>YEAR(Tabela1[[#This Row],[Data da Venda]])</f>
        <v>2013</v>
      </c>
    </row>
    <row r="960" spans="1:12" ht="15" hidden="1" customHeight="1">
      <c r="A960" s="149" t="s">
        <v>489</v>
      </c>
      <c r="B960" s="150" t="s">
        <v>490</v>
      </c>
      <c r="C960" s="187">
        <v>1213</v>
      </c>
      <c r="D960" s="187" t="s">
        <v>328</v>
      </c>
      <c r="E960" s="187" t="s">
        <v>340</v>
      </c>
      <c r="F960" s="188">
        <v>41602</v>
      </c>
      <c r="G960" s="188" t="s">
        <v>179</v>
      </c>
      <c r="H960" s="189" t="s">
        <v>61</v>
      </c>
      <c r="I960" s="189">
        <v>279208</v>
      </c>
      <c r="J960" s="190">
        <v>1</v>
      </c>
      <c r="K960" s="191">
        <f>MONTH(Tabela1[[#This Row],[Data da Venda]])</f>
        <v>11</v>
      </c>
      <c r="L960" s="191">
        <f>YEAR(Tabela1[[#This Row],[Data da Venda]])</f>
        <v>2013</v>
      </c>
    </row>
    <row r="961" spans="1:12" ht="15" hidden="1" customHeight="1">
      <c r="A961" s="149" t="s">
        <v>489</v>
      </c>
      <c r="B961" s="150" t="s">
        <v>490</v>
      </c>
      <c r="C961" s="187">
        <v>1312</v>
      </c>
      <c r="D961" s="187" t="s">
        <v>328</v>
      </c>
      <c r="E961" s="187" t="s">
        <v>340</v>
      </c>
      <c r="F961" s="188">
        <v>41602</v>
      </c>
      <c r="G961" s="188" t="s">
        <v>66</v>
      </c>
      <c r="H961" s="189" t="s">
        <v>61</v>
      </c>
      <c r="I961" s="189">
        <v>284093.13</v>
      </c>
      <c r="J961" s="190">
        <v>1</v>
      </c>
      <c r="K961" s="191">
        <f>MONTH(Tabela1[[#This Row],[Data da Venda]])</f>
        <v>11</v>
      </c>
      <c r="L961" s="191">
        <f>YEAR(Tabela1[[#This Row],[Data da Venda]])</f>
        <v>2013</v>
      </c>
    </row>
    <row r="962" spans="1:12" ht="15" hidden="1" customHeight="1">
      <c r="A962" s="185" t="s">
        <v>489</v>
      </c>
      <c r="B962" s="186" t="s">
        <v>490</v>
      </c>
      <c r="C962" s="187">
        <v>1310</v>
      </c>
      <c r="D962" s="187" t="s">
        <v>328</v>
      </c>
      <c r="E962" s="187" t="s">
        <v>340</v>
      </c>
      <c r="F962" s="188">
        <v>41602</v>
      </c>
      <c r="G962" s="188" t="s">
        <v>66</v>
      </c>
      <c r="H962" s="189" t="s">
        <v>61</v>
      </c>
      <c r="I962" s="189">
        <v>266894</v>
      </c>
      <c r="J962" s="190">
        <v>1</v>
      </c>
      <c r="K962" s="191">
        <f>MONTH(Tabela1[[#This Row],[Data da Venda]])</f>
        <v>11</v>
      </c>
      <c r="L962" s="191">
        <f>YEAR(Tabela1[[#This Row],[Data da Venda]])</f>
        <v>2013</v>
      </c>
    </row>
    <row r="963" spans="1:12" ht="15" hidden="1" customHeight="1">
      <c r="A963" s="149" t="s">
        <v>489</v>
      </c>
      <c r="B963" s="150" t="s">
        <v>490</v>
      </c>
      <c r="C963" s="187">
        <v>1407</v>
      </c>
      <c r="D963" s="187" t="s">
        <v>329</v>
      </c>
      <c r="E963" s="187" t="s">
        <v>340</v>
      </c>
      <c r="F963" s="188">
        <v>41602</v>
      </c>
      <c r="G963" s="156" t="s">
        <v>463</v>
      </c>
      <c r="H963" s="189" t="s">
        <v>33</v>
      </c>
      <c r="I963" s="189">
        <v>289647</v>
      </c>
      <c r="J963" s="190">
        <v>1</v>
      </c>
      <c r="K963" s="191">
        <f>MONTH(Tabela1[[#This Row],[Data da Venda]])</f>
        <v>11</v>
      </c>
      <c r="L963" s="191">
        <f>YEAR(Tabela1[[#This Row],[Data da Venda]])</f>
        <v>2013</v>
      </c>
    </row>
    <row r="964" spans="1:12" ht="15" hidden="1" customHeight="1">
      <c r="A964" s="149" t="s">
        <v>489</v>
      </c>
      <c r="B964" s="150" t="s">
        <v>490</v>
      </c>
      <c r="C964" s="187">
        <v>1403</v>
      </c>
      <c r="D964" s="187" t="s">
        <v>328</v>
      </c>
      <c r="E964" s="187" t="s">
        <v>340</v>
      </c>
      <c r="F964" s="188">
        <v>41602</v>
      </c>
      <c r="G964" s="188" t="s">
        <v>224</v>
      </c>
      <c r="H964" s="189" t="s">
        <v>460</v>
      </c>
      <c r="I964" s="189">
        <v>263700</v>
      </c>
      <c r="J964" s="190">
        <v>1</v>
      </c>
      <c r="K964" s="191">
        <f>MONTH(Tabela1[[#This Row],[Data da Venda]])</f>
        <v>11</v>
      </c>
      <c r="L964" s="191">
        <f>YEAR(Tabela1[[#This Row],[Data da Venda]])</f>
        <v>2013</v>
      </c>
    </row>
    <row r="965" spans="1:12" ht="15" hidden="1" customHeight="1">
      <c r="A965" s="149" t="s">
        <v>489</v>
      </c>
      <c r="B965" s="150" t="s">
        <v>490</v>
      </c>
      <c r="C965" s="187">
        <v>1409</v>
      </c>
      <c r="D965" s="187" t="s">
        <v>328</v>
      </c>
      <c r="E965" s="187" t="s">
        <v>340</v>
      </c>
      <c r="F965" s="188">
        <v>41602</v>
      </c>
      <c r="G965" s="188" t="s">
        <v>494</v>
      </c>
      <c r="H965" s="189" t="s">
        <v>61</v>
      </c>
      <c r="I965" s="189">
        <f>288980.41/2</f>
        <v>144490.20499999999</v>
      </c>
      <c r="J965" s="190">
        <v>0.5</v>
      </c>
      <c r="K965" s="191">
        <f>MONTH(Tabela1[[#This Row],[Data da Venda]])</f>
        <v>11</v>
      </c>
      <c r="L965" s="191">
        <f>YEAR(Tabela1[[#This Row],[Data da Venda]])</f>
        <v>2013</v>
      </c>
    </row>
    <row r="966" spans="1:12" ht="15" hidden="1" customHeight="1">
      <c r="A966" s="149" t="s">
        <v>489</v>
      </c>
      <c r="B966" s="150" t="s">
        <v>490</v>
      </c>
      <c r="C966" s="187">
        <v>1409</v>
      </c>
      <c r="D966" s="187" t="s">
        <v>328</v>
      </c>
      <c r="E966" s="187" t="s">
        <v>340</v>
      </c>
      <c r="F966" s="188">
        <v>41602</v>
      </c>
      <c r="G966" s="188" t="s">
        <v>84</v>
      </c>
      <c r="H966" s="189" t="s">
        <v>61</v>
      </c>
      <c r="I966" s="189">
        <f>288980.41/2</f>
        <v>144490.20499999999</v>
      </c>
      <c r="J966" s="190">
        <v>0.5</v>
      </c>
      <c r="K966" s="191">
        <f>MONTH(Tabela1[[#This Row],[Data da Venda]])</f>
        <v>11</v>
      </c>
      <c r="L966" s="191">
        <f>YEAR(Tabela1[[#This Row],[Data da Venda]])</f>
        <v>2013</v>
      </c>
    </row>
    <row r="967" spans="1:12" ht="15" hidden="1" customHeight="1">
      <c r="A967" s="149" t="s">
        <v>489</v>
      </c>
      <c r="B967" s="150" t="s">
        <v>490</v>
      </c>
      <c r="C967" s="187">
        <v>1510</v>
      </c>
      <c r="D967" s="187" t="s">
        <v>329</v>
      </c>
      <c r="E967" s="187" t="s">
        <v>340</v>
      </c>
      <c r="F967" s="188">
        <v>41602</v>
      </c>
      <c r="G967" s="156" t="s">
        <v>464</v>
      </c>
      <c r="H967" s="189" t="s">
        <v>33</v>
      </c>
      <c r="I967" s="189">
        <v>287234</v>
      </c>
      <c r="J967" s="190">
        <v>1</v>
      </c>
      <c r="K967" s="191">
        <f>MONTH(Tabela1[[#This Row],[Data da Venda]])</f>
        <v>11</v>
      </c>
      <c r="L967" s="191">
        <f>YEAR(Tabela1[[#This Row],[Data da Venda]])</f>
        <v>2013</v>
      </c>
    </row>
    <row r="968" spans="1:12" ht="15" hidden="1" customHeight="1">
      <c r="A968" s="149" t="s">
        <v>489</v>
      </c>
      <c r="B968" s="150" t="s">
        <v>490</v>
      </c>
      <c r="C968" s="187">
        <v>1619</v>
      </c>
      <c r="D968" s="187" t="s">
        <v>328</v>
      </c>
      <c r="E968" s="187" t="s">
        <v>340</v>
      </c>
      <c r="F968" s="188">
        <v>41602</v>
      </c>
      <c r="G968" s="188" t="s">
        <v>160</v>
      </c>
      <c r="H968" s="189" t="s">
        <v>23</v>
      </c>
      <c r="I968" s="189">
        <f>272310/2</f>
        <v>136155</v>
      </c>
      <c r="J968" s="190">
        <v>0.5</v>
      </c>
      <c r="K968" s="191">
        <f>MONTH(Tabela1[[#This Row],[Data da Venda]])</f>
        <v>11</v>
      </c>
      <c r="L968" s="191">
        <f>YEAR(Tabela1[[#This Row],[Data da Venda]])</f>
        <v>2013</v>
      </c>
    </row>
    <row r="969" spans="1:12" ht="15" hidden="1" customHeight="1">
      <c r="A969" s="149" t="s">
        <v>489</v>
      </c>
      <c r="B969" s="150" t="s">
        <v>490</v>
      </c>
      <c r="C969" s="187">
        <v>1619</v>
      </c>
      <c r="D969" s="187" t="s">
        <v>328</v>
      </c>
      <c r="E969" s="187" t="s">
        <v>340</v>
      </c>
      <c r="F969" s="188">
        <v>41602</v>
      </c>
      <c r="G969" s="188" t="s">
        <v>177</v>
      </c>
      <c r="H969" s="189" t="s">
        <v>23</v>
      </c>
      <c r="I969" s="189">
        <f>272310/2</f>
        <v>136155</v>
      </c>
      <c r="J969" s="190">
        <v>0.5</v>
      </c>
      <c r="K969" s="191">
        <f>MONTH(Tabela1[[#This Row],[Data da Venda]])</f>
        <v>11</v>
      </c>
      <c r="L969" s="191">
        <f>YEAR(Tabela1[[#This Row],[Data da Venda]])</f>
        <v>2013</v>
      </c>
    </row>
    <row r="970" spans="1:12" ht="15" hidden="1" customHeight="1">
      <c r="A970" s="185" t="s">
        <v>489</v>
      </c>
      <c r="B970" s="186" t="s">
        <v>490</v>
      </c>
      <c r="C970" s="187">
        <v>1702</v>
      </c>
      <c r="D970" s="187" t="s">
        <v>328</v>
      </c>
      <c r="E970" s="187" t="s">
        <v>340</v>
      </c>
      <c r="F970" s="188">
        <v>41602</v>
      </c>
      <c r="G970" s="188" t="s">
        <v>237</v>
      </c>
      <c r="H970" s="189" t="s">
        <v>27</v>
      </c>
      <c r="I970" s="189">
        <f>272308.9/2</f>
        <v>136154.45000000001</v>
      </c>
      <c r="J970" s="190">
        <v>0.5</v>
      </c>
      <c r="K970" s="191">
        <f>MONTH(Tabela1[[#This Row],[Data da Venda]])</f>
        <v>11</v>
      </c>
      <c r="L970" s="191">
        <f>YEAR(Tabela1[[#This Row],[Data da Venda]])</f>
        <v>2013</v>
      </c>
    </row>
    <row r="971" spans="1:12" ht="15" hidden="1" customHeight="1">
      <c r="A971" s="185" t="s">
        <v>489</v>
      </c>
      <c r="B971" s="186" t="s">
        <v>490</v>
      </c>
      <c r="C971" s="187">
        <v>1702</v>
      </c>
      <c r="D971" s="187" t="s">
        <v>328</v>
      </c>
      <c r="E971" s="187" t="s">
        <v>340</v>
      </c>
      <c r="F971" s="188">
        <v>41602</v>
      </c>
      <c r="G971" s="188" t="s">
        <v>39</v>
      </c>
      <c r="H971" s="189" t="s">
        <v>27</v>
      </c>
      <c r="I971" s="189">
        <f>272308.9/2</f>
        <v>136154.45000000001</v>
      </c>
      <c r="J971" s="190">
        <v>0.5</v>
      </c>
      <c r="K971" s="191">
        <f>MONTH(Tabela1[[#This Row],[Data da Venda]])</f>
        <v>11</v>
      </c>
      <c r="L971" s="191">
        <f>YEAR(Tabela1[[#This Row],[Data da Venda]])</f>
        <v>2013</v>
      </c>
    </row>
    <row r="972" spans="1:12" ht="15" hidden="1" customHeight="1">
      <c r="A972" s="149" t="s">
        <v>489</v>
      </c>
      <c r="B972" s="150" t="s">
        <v>490</v>
      </c>
      <c r="C972" s="187">
        <v>1601</v>
      </c>
      <c r="D972" s="187" t="s">
        <v>328</v>
      </c>
      <c r="E972" s="187" t="s">
        <v>340</v>
      </c>
      <c r="F972" s="188">
        <v>41602</v>
      </c>
      <c r="G972" s="188" t="s">
        <v>456</v>
      </c>
      <c r="H972" s="189" t="s">
        <v>23</v>
      </c>
      <c r="I972" s="189">
        <v>261974.64</v>
      </c>
      <c r="J972" s="190">
        <v>1</v>
      </c>
      <c r="K972" s="191">
        <f>MONTH(Tabela1[[#This Row],[Data da Venda]])</f>
        <v>11</v>
      </c>
      <c r="L972" s="191">
        <f>YEAR(Tabela1[[#This Row],[Data da Venda]])</f>
        <v>2013</v>
      </c>
    </row>
    <row r="973" spans="1:12" ht="15" hidden="1" customHeight="1">
      <c r="A973" s="149" t="s">
        <v>489</v>
      </c>
      <c r="B973" s="150" t="s">
        <v>490</v>
      </c>
      <c r="C973" s="187">
        <v>1714</v>
      </c>
      <c r="D973" s="187" t="s">
        <v>328</v>
      </c>
      <c r="E973" s="187" t="s">
        <v>340</v>
      </c>
      <c r="F973" s="188">
        <v>41602</v>
      </c>
      <c r="G973" s="188" t="s">
        <v>333</v>
      </c>
      <c r="H973" s="189" t="s">
        <v>24</v>
      </c>
      <c r="I973" s="189">
        <v>388716.95</v>
      </c>
      <c r="J973" s="190">
        <v>1</v>
      </c>
      <c r="K973" s="191">
        <f>MONTH(Tabela1[[#This Row],[Data da Venda]])</f>
        <v>11</v>
      </c>
      <c r="L973" s="191">
        <f>YEAR(Tabela1[[#This Row],[Data da Venda]])</f>
        <v>2013</v>
      </c>
    </row>
    <row r="974" spans="1:12" ht="15" hidden="1" customHeight="1">
      <c r="A974" s="149" t="s">
        <v>489</v>
      </c>
      <c r="B974" s="150" t="s">
        <v>490</v>
      </c>
      <c r="C974" s="187">
        <v>1603</v>
      </c>
      <c r="D974" s="187" t="s">
        <v>328</v>
      </c>
      <c r="E974" s="187" t="s">
        <v>340</v>
      </c>
      <c r="F974" s="188">
        <v>41602</v>
      </c>
      <c r="G974" s="188" t="s">
        <v>456</v>
      </c>
      <c r="H974" s="189" t="s">
        <v>23</v>
      </c>
      <c r="I974" s="189">
        <v>261974.64</v>
      </c>
      <c r="J974" s="190">
        <v>1</v>
      </c>
      <c r="K974" s="191">
        <f>MONTH(Tabela1[[#This Row],[Data da Venda]])</f>
        <v>11</v>
      </c>
      <c r="L974" s="191">
        <f>YEAR(Tabela1[[#This Row],[Data da Venda]])</f>
        <v>2013</v>
      </c>
    </row>
    <row r="975" spans="1:12" ht="15" hidden="1" customHeight="1">
      <c r="A975" s="149" t="s">
        <v>489</v>
      </c>
      <c r="B975" s="150" t="s">
        <v>490</v>
      </c>
      <c r="C975" s="187">
        <v>1611</v>
      </c>
      <c r="D975" s="187" t="s">
        <v>328</v>
      </c>
      <c r="E975" s="187" t="s">
        <v>340</v>
      </c>
      <c r="F975" s="188">
        <v>41602</v>
      </c>
      <c r="G975" s="188" t="s">
        <v>333</v>
      </c>
      <c r="H975" s="189" t="s">
        <v>24</v>
      </c>
      <c r="I975" s="189">
        <v>414257.95</v>
      </c>
      <c r="J975" s="190">
        <v>1</v>
      </c>
      <c r="K975" s="191">
        <f>MONTH(Tabela1[[#This Row],[Data da Venda]])</f>
        <v>11</v>
      </c>
      <c r="L975" s="191">
        <f>YEAR(Tabela1[[#This Row],[Data da Venda]])</f>
        <v>2013</v>
      </c>
    </row>
    <row r="976" spans="1:12" ht="15" hidden="1" customHeight="1">
      <c r="A976" s="185" t="s">
        <v>233</v>
      </c>
      <c r="B976" s="150" t="s">
        <v>428</v>
      </c>
      <c r="C976" s="187">
        <v>151</v>
      </c>
      <c r="D976" s="187" t="s">
        <v>328</v>
      </c>
      <c r="E976" s="187" t="s">
        <v>339</v>
      </c>
      <c r="F976" s="188">
        <v>41602</v>
      </c>
      <c r="G976" s="188" t="s">
        <v>262</v>
      </c>
      <c r="H976" s="189" t="s">
        <v>24</v>
      </c>
      <c r="I976" s="189">
        <v>385000</v>
      </c>
      <c r="J976" s="190">
        <v>1</v>
      </c>
      <c r="K976" s="191">
        <f>MONTH(Tabela1[[#This Row],[Data da Venda]])</f>
        <v>11</v>
      </c>
      <c r="L976" s="191">
        <f>YEAR(Tabela1[[#This Row],[Data da Venda]])</f>
        <v>2013</v>
      </c>
    </row>
    <row r="977" spans="1:12" ht="15" hidden="1" customHeight="1">
      <c r="A977" s="185" t="s">
        <v>470</v>
      </c>
      <c r="B977" s="186" t="s">
        <v>472</v>
      </c>
      <c r="C977" s="187">
        <v>63</v>
      </c>
      <c r="D977" s="187" t="s">
        <v>328</v>
      </c>
      <c r="E977" s="187" t="s">
        <v>340</v>
      </c>
      <c r="F977" s="188">
        <v>41603</v>
      </c>
      <c r="G977" s="188" t="s">
        <v>503</v>
      </c>
      <c r="H977" s="189" t="s">
        <v>460</v>
      </c>
      <c r="I977" s="189">
        <v>475100</v>
      </c>
      <c r="J977" s="190">
        <v>1</v>
      </c>
      <c r="K977" s="191">
        <f>MONTH(Tabela1[[#This Row],[Data da Venda]])</f>
        <v>11</v>
      </c>
      <c r="L977" s="191">
        <f>YEAR(Tabela1[[#This Row],[Data da Venda]])</f>
        <v>2013</v>
      </c>
    </row>
    <row r="978" spans="1:12" ht="15" hidden="1" customHeight="1">
      <c r="A978" s="185" t="s">
        <v>470</v>
      </c>
      <c r="B978" s="186" t="s">
        <v>472</v>
      </c>
      <c r="C978" s="187">
        <v>63</v>
      </c>
      <c r="D978" s="187" t="s">
        <v>328</v>
      </c>
      <c r="E978" s="187" t="s">
        <v>340</v>
      </c>
      <c r="F978" s="188">
        <v>41603</v>
      </c>
      <c r="G978" s="188" t="s">
        <v>503</v>
      </c>
      <c r="H978" s="189" t="s">
        <v>460</v>
      </c>
      <c r="I978" s="189">
        <v>475100</v>
      </c>
      <c r="J978" s="190">
        <v>1</v>
      </c>
      <c r="K978" s="191">
        <f>MONTH(Tabela1[[#This Row],[Data da Venda]])</f>
        <v>11</v>
      </c>
      <c r="L978" s="191">
        <f>YEAR(Tabela1[[#This Row],[Data da Venda]])</f>
        <v>2013</v>
      </c>
    </row>
    <row r="979" spans="1:12" ht="15" hidden="1" customHeight="1">
      <c r="A979" s="185" t="s">
        <v>510</v>
      </c>
      <c r="B979" s="186" t="s">
        <v>511</v>
      </c>
      <c r="C979" s="187">
        <v>611</v>
      </c>
      <c r="D979" s="155" t="s">
        <v>327</v>
      </c>
      <c r="E979" s="155" t="s">
        <v>327</v>
      </c>
      <c r="F979" s="188">
        <v>41603</v>
      </c>
      <c r="G979" s="156" t="s">
        <v>360</v>
      </c>
      <c r="H979" s="189" t="s">
        <v>362</v>
      </c>
      <c r="I979" s="189">
        <v>300000</v>
      </c>
      <c r="J979" s="190">
        <v>1</v>
      </c>
      <c r="K979" s="191">
        <f>MONTH(Tabela1[[#This Row],[Data da Venda]])</f>
        <v>11</v>
      </c>
      <c r="L979" s="191">
        <f>YEAR(Tabela1[[#This Row],[Data da Venda]])</f>
        <v>2013</v>
      </c>
    </row>
    <row r="980" spans="1:12" ht="15" hidden="1" customHeight="1">
      <c r="A980" s="185" t="s">
        <v>489</v>
      </c>
      <c r="B980" s="150" t="s">
        <v>490</v>
      </c>
      <c r="C980" s="187">
        <v>110</v>
      </c>
      <c r="D980" s="187" t="s">
        <v>328</v>
      </c>
      <c r="E980" s="187" t="s">
        <v>340</v>
      </c>
      <c r="F980" s="188">
        <v>41603</v>
      </c>
      <c r="G980" s="188" t="s">
        <v>62</v>
      </c>
      <c r="H980" s="189" t="s">
        <v>25</v>
      </c>
      <c r="I980" s="189">
        <v>210000</v>
      </c>
      <c r="J980" s="190">
        <v>1</v>
      </c>
      <c r="K980" s="191">
        <f>MONTH(Tabela1[[#This Row],[Data da Venda]])</f>
        <v>11</v>
      </c>
      <c r="L980" s="191">
        <f>YEAR(Tabela1[[#This Row],[Data da Venda]])</f>
        <v>2013</v>
      </c>
    </row>
    <row r="981" spans="1:12" ht="15" hidden="1" customHeight="1">
      <c r="A981" s="149" t="s">
        <v>489</v>
      </c>
      <c r="B981" s="150" t="s">
        <v>490</v>
      </c>
      <c r="C981" s="155">
        <v>316</v>
      </c>
      <c r="D981" s="155" t="s">
        <v>328</v>
      </c>
      <c r="E981" s="155" t="s">
        <v>340</v>
      </c>
      <c r="F981" s="156">
        <v>41603</v>
      </c>
      <c r="G981" s="156" t="s">
        <v>309</v>
      </c>
      <c r="H981" s="157" t="s">
        <v>26</v>
      </c>
      <c r="I981" s="157">
        <v>332050</v>
      </c>
      <c r="J981" s="160">
        <v>1</v>
      </c>
      <c r="K981" s="159">
        <f>MONTH(Tabela1[[#This Row],[Data da Venda]])</f>
        <v>11</v>
      </c>
      <c r="L981" s="159">
        <f>YEAR(Tabela1[[#This Row],[Data da Venda]])</f>
        <v>2013</v>
      </c>
    </row>
    <row r="982" spans="1:12" ht="15" hidden="1" customHeight="1">
      <c r="A982" s="149" t="s">
        <v>489</v>
      </c>
      <c r="B982" s="150" t="s">
        <v>490</v>
      </c>
      <c r="C982" s="155">
        <v>415</v>
      </c>
      <c r="D982" s="155" t="s">
        <v>329</v>
      </c>
      <c r="E982" s="155" t="s">
        <v>340</v>
      </c>
      <c r="F982" s="156">
        <v>41603</v>
      </c>
      <c r="G982" s="156" t="s">
        <v>465</v>
      </c>
      <c r="H982" s="157" t="s">
        <v>33</v>
      </c>
      <c r="I982" s="157">
        <v>357950</v>
      </c>
      <c r="J982" s="160">
        <v>1</v>
      </c>
      <c r="K982" s="159">
        <f>MONTH(Tabela1[[#This Row],[Data da Venda]])</f>
        <v>11</v>
      </c>
      <c r="L982" s="159">
        <f>YEAR(Tabela1[[#This Row],[Data da Venda]])</f>
        <v>2013</v>
      </c>
    </row>
    <row r="983" spans="1:12" ht="15" hidden="1" customHeight="1">
      <c r="A983" s="149" t="s">
        <v>489</v>
      </c>
      <c r="B983" s="150" t="s">
        <v>490</v>
      </c>
      <c r="C983" s="155">
        <v>512</v>
      </c>
      <c r="D983" s="155" t="s">
        <v>328</v>
      </c>
      <c r="E983" s="155" t="s">
        <v>340</v>
      </c>
      <c r="F983" s="156">
        <v>41603</v>
      </c>
      <c r="G983" s="156" t="s">
        <v>56</v>
      </c>
      <c r="H983" s="157" t="s">
        <v>26</v>
      </c>
      <c r="I983" s="157">
        <v>271000</v>
      </c>
      <c r="J983" s="160">
        <v>1</v>
      </c>
      <c r="K983" s="159">
        <f>MONTH(Tabela1[[#This Row],[Data da Venda]])</f>
        <v>11</v>
      </c>
      <c r="L983" s="159">
        <f>YEAR(Tabela1[[#This Row],[Data da Venda]])</f>
        <v>2013</v>
      </c>
    </row>
    <row r="984" spans="1:12" ht="15" hidden="1" customHeight="1">
      <c r="A984" s="149" t="s">
        <v>489</v>
      </c>
      <c r="B984" s="150" t="s">
        <v>490</v>
      </c>
      <c r="C984" s="155">
        <v>1118</v>
      </c>
      <c r="D984" s="155" t="s">
        <v>328</v>
      </c>
      <c r="E984" s="155" t="s">
        <v>340</v>
      </c>
      <c r="F984" s="156">
        <v>41603</v>
      </c>
      <c r="G984" s="156" t="s">
        <v>87</v>
      </c>
      <c r="H984" s="157" t="s">
        <v>460</v>
      </c>
      <c r="I984" s="157">
        <v>235800</v>
      </c>
      <c r="J984" s="160">
        <v>1</v>
      </c>
      <c r="K984" s="159">
        <f>MONTH(Tabela1[[#This Row],[Data da Venda]])</f>
        <v>11</v>
      </c>
      <c r="L984" s="159">
        <f>YEAR(Tabela1[[#This Row],[Data da Venda]])</f>
        <v>2013</v>
      </c>
    </row>
    <row r="985" spans="1:12" ht="15" hidden="1" customHeight="1">
      <c r="A985" s="149" t="s">
        <v>489</v>
      </c>
      <c r="B985" s="150" t="s">
        <v>490</v>
      </c>
      <c r="C985" s="155">
        <v>1308</v>
      </c>
      <c r="D985" s="155" t="s">
        <v>328</v>
      </c>
      <c r="E985" s="155" t="s">
        <v>340</v>
      </c>
      <c r="F985" s="156">
        <v>41603</v>
      </c>
      <c r="G985" s="156" t="s">
        <v>197</v>
      </c>
      <c r="H985" s="157" t="s">
        <v>23</v>
      </c>
      <c r="I985" s="157">
        <f>275028.27/2</f>
        <v>137514.13500000001</v>
      </c>
      <c r="J985" s="160">
        <v>0.5</v>
      </c>
      <c r="K985" s="159">
        <f>MONTH(Tabela1[[#This Row],[Data da Venda]])</f>
        <v>11</v>
      </c>
      <c r="L985" s="159">
        <f>YEAR(Tabela1[[#This Row],[Data da Venda]])</f>
        <v>2013</v>
      </c>
    </row>
    <row r="986" spans="1:12" ht="15" hidden="1" customHeight="1">
      <c r="A986" s="149" t="s">
        <v>489</v>
      </c>
      <c r="B986" s="150" t="s">
        <v>490</v>
      </c>
      <c r="C986" s="155">
        <v>1308</v>
      </c>
      <c r="D986" s="155" t="s">
        <v>328</v>
      </c>
      <c r="E986" s="155" t="s">
        <v>340</v>
      </c>
      <c r="F986" s="156">
        <v>41603</v>
      </c>
      <c r="G986" s="156" t="s">
        <v>504</v>
      </c>
      <c r="H986" s="157" t="s">
        <v>23</v>
      </c>
      <c r="I986" s="157">
        <f>275028.27/2</f>
        <v>137514.13500000001</v>
      </c>
      <c r="J986" s="160">
        <v>0.5</v>
      </c>
      <c r="K986" s="159">
        <f>MONTH(Tabela1[[#This Row],[Data da Venda]])</f>
        <v>11</v>
      </c>
      <c r="L986" s="159">
        <f>YEAR(Tabela1[[#This Row],[Data da Venda]])</f>
        <v>2013</v>
      </c>
    </row>
    <row r="987" spans="1:12" ht="15" hidden="1" customHeight="1">
      <c r="A987" s="149" t="s">
        <v>489</v>
      </c>
      <c r="B987" s="150" t="s">
        <v>490</v>
      </c>
      <c r="C987" s="155">
        <v>1309</v>
      </c>
      <c r="D987" s="155" t="s">
        <v>328</v>
      </c>
      <c r="E987" s="155" t="s">
        <v>340</v>
      </c>
      <c r="F987" s="156">
        <v>41603</v>
      </c>
      <c r="G987" s="156" t="s">
        <v>197</v>
      </c>
      <c r="H987" s="157" t="s">
        <v>23</v>
      </c>
      <c r="I987" s="157">
        <f>275028.27/2</f>
        <v>137514.13500000001</v>
      </c>
      <c r="J987" s="160">
        <v>0.5</v>
      </c>
      <c r="K987" s="159">
        <f>MONTH(Tabela1[[#This Row],[Data da Venda]])</f>
        <v>11</v>
      </c>
      <c r="L987" s="159">
        <f>YEAR(Tabela1[[#This Row],[Data da Venda]])</f>
        <v>2013</v>
      </c>
    </row>
    <row r="988" spans="1:12" ht="15" hidden="1" customHeight="1">
      <c r="A988" s="149" t="s">
        <v>489</v>
      </c>
      <c r="B988" s="150" t="s">
        <v>490</v>
      </c>
      <c r="C988" s="155">
        <v>1309</v>
      </c>
      <c r="D988" s="155" t="s">
        <v>328</v>
      </c>
      <c r="E988" s="155" t="s">
        <v>340</v>
      </c>
      <c r="F988" s="156">
        <v>41603</v>
      </c>
      <c r="G988" s="156" t="s">
        <v>504</v>
      </c>
      <c r="H988" s="157" t="s">
        <v>23</v>
      </c>
      <c r="I988" s="157">
        <f>275028.27/2</f>
        <v>137514.13500000001</v>
      </c>
      <c r="J988" s="160">
        <v>0.5</v>
      </c>
      <c r="K988" s="159">
        <f>MONTH(Tabela1[[#This Row],[Data da Venda]])</f>
        <v>11</v>
      </c>
      <c r="L988" s="159">
        <f>YEAR(Tabela1[[#This Row],[Data da Venda]])</f>
        <v>2013</v>
      </c>
    </row>
    <row r="989" spans="1:12" ht="15" hidden="1" customHeight="1">
      <c r="A989" s="149" t="s">
        <v>489</v>
      </c>
      <c r="B989" s="150" t="s">
        <v>490</v>
      </c>
      <c r="C989" s="155">
        <v>1319</v>
      </c>
      <c r="D989" s="155" t="s">
        <v>328</v>
      </c>
      <c r="E989" s="155" t="s">
        <v>340</v>
      </c>
      <c r="F989" s="156">
        <v>41603</v>
      </c>
      <c r="G989" s="156" t="s">
        <v>87</v>
      </c>
      <c r="H989" s="157" t="s">
        <v>460</v>
      </c>
      <c r="I989" s="157">
        <v>235800</v>
      </c>
      <c r="J989" s="160">
        <v>1</v>
      </c>
      <c r="K989" s="159">
        <f>MONTH(Tabela1[[#This Row],[Data da Venda]])</f>
        <v>11</v>
      </c>
      <c r="L989" s="159">
        <f>YEAR(Tabela1[[#This Row],[Data da Venda]])</f>
        <v>2013</v>
      </c>
    </row>
    <row r="990" spans="1:12" ht="15" hidden="1" customHeight="1">
      <c r="A990" s="149" t="s">
        <v>489</v>
      </c>
      <c r="B990" s="150" t="s">
        <v>490</v>
      </c>
      <c r="C990" s="155">
        <v>1704</v>
      </c>
      <c r="D990" s="155" t="s">
        <v>328</v>
      </c>
      <c r="E990" s="155" t="s">
        <v>340</v>
      </c>
      <c r="F990" s="156">
        <v>41603</v>
      </c>
      <c r="G990" s="156" t="s">
        <v>456</v>
      </c>
      <c r="H990" s="157" t="s">
        <v>23</v>
      </c>
      <c r="I990" s="157">
        <v>261501.69</v>
      </c>
      <c r="J990" s="160">
        <v>1</v>
      </c>
      <c r="K990" s="159">
        <f>MONTH(Tabela1[[#This Row],[Data da Venda]])</f>
        <v>11</v>
      </c>
      <c r="L990" s="159">
        <f>YEAR(Tabela1[[#This Row],[Data da Venda]])</f>
        <v>2013</v>
      </c>
    </row>
    <row r="991" spans="1:12" ht="15" hidden="1" customHeight="1">
      <c r="A991" s="149" t="s">
        <v>489</v>
      </c>
      <c r="B991" s="150" t="s">
        <v>490</v>
      </c>
      <c r="C991" s="155">
        <v>1712</v>
      </c>
      <c r="D991" s="155" t="s">
        <v>328</v>
      </c>
      <c r="E991" s="155" t="s">
        <v>340</v>
      </c>
      <c r="F991" s="156">
        <v>41603</v>
      </c>
      <c r="G991" s="156" t="s">
        <v>456</v>
      </c>
      <c r="H991" s="157" t="s">
        <v>23</v>
      </c>
      <c r="I991" s="157">
        <v>278304.23</v>
      </c>
      <c r="J991" s="160">
        <v>1</v>
      </c>
      <c r="K991" s="159">
        <f>MONTH(Tabela1[[#This Row],[Data da Venda]])</f>
        <v>11</v>
      </c>
      <c r="L991" s="159">
        <f>YEAR(Tabela1[[#This Row],[Data da Venda]])</f>
        <v>2013</v>
      </c>
    </row>
    <row r="992" spans="1:12" ht="15" hidden="1" customHeight="1">
      <c r="A992" s="149" t="s">
        <v>191</v>
      </c>
      <c r="B992" s="186" t="s">
        <v>435</v>
      </c>
      <c r="C992" s="187">
        <v>38</v>
      </c>
      <c r="D992" s="187" t="s">
        <v>328</v>
      </c>
      <c r="E992" s="187" t="s">
        <v>340</v>
      </c>
      <c r="F992" s="188">
        <v>41604</v>
      </c>
      <c r="G992" s="188" t="s">
        <v>473</v>
      </c>
      <c r="H992" s="189" t="s">
        <v>27</v>
      </c>
      <c r="I992" s="189">
        <v>200000</v>
      </c>
      <c r="J992" s="190">
        <v>1</v>
      </c>
      <c r="K992" s="191">
        <f>MONTH(Tabela1[[#This Row],[Data da Venda]])</f>
        <v>11</v>
      </c>
      <c r="L992" s="191">
        <f>YEAR(Tabela1[[#This Row],[Data da Venda]])</f>
        <v>2013</v>
      </c>
    </row>
    <row r="993" spans="1:12" ht="15" hidden="1" customHeight="1">
      <c r="A993" s="185" t="s">
        <v>53</v>
      </c>
      <c r="B993" s="186" t="s">
        <v>414</v>
      </c>
      <c r="C993" s="187">
        <v>116</v>
      </c>
      <c r="D993" s="187" t="s">
        <v>328</v>
      </c>
      <c r="E993" s="187" t="s">
        <v>339</v>
      </c>
      <c r="F993" s="188">
        <v>41604</v>
      </c>
      <c r="G993" s="188" t="s">
        <v>505</v>
      </c>
      <c r="H993" s="189" t="s">
        <v>23</v>
      </c>
      <c r="I993" s="189">
        <v>690000</v>
      </c>
      <c r="J993" s="190">
        <v>1</v>
      </c>
      <c r="K993" s="191">
        <f>MONTH(Tabela1[[#This Row],[Data da Venda]])</f>
        <v>11</v>
      </c>
      <c r="L993" s="191">
        <f>YEAR(Tabela1[[#This Row],[Data da Venda]])</f>
        <v>2013</v>
      </c>
    </row>
    <row r="994" spans="1:12" ht="15" hidden="1" customHeight="1">
      <c r="A994" s="149" t="s">
        <v>489</v>
      </c>
      <c r="B994" s="150" t="s">
        <v>490</v>
      </c>
      <c r="C994" s="187">
        <v>201</v>
      </c>
      <c r="D994" s="187" t="s">
        <v>328</v>
      </c>
      <c r="E994" s="187" t="s">
        <v>340</v>
      </c>
      <c r="F994" s="188">
        <v>41604</v>
      </c>
      <c r="G994" s="188" t="s">
        <v>162</v>
      </c>
      <c r="H994" s="189" t="s">
        <v>25</v>
      </c>
      <c r="I994" s="189">
        <f>249000/2</f>
        <v>124500</v>
      </c>
      <c r="J994" s="190">
        <v>0.5</v>
      </c>
      <c r="K994" s="191">
        <f>MONTH(Tabela1[[#This Row],[Data da Venda]])</f>
        <v>11</v>
      </c>
      <c r="L994" s="191">
        <f>YEAR(Tabela1[[#This Row],[Data da Venda]])</f>
        <v>2013</v>
      </c>
    </row>
    <row r="995" spans="1:12" ht="15" hidden="1" customHeight="1">
      <c r="A995" s="149" t="s">
        <v>489</v>
      </c>
      <c r="B995" s="150" t="s">
        <v>490</v>
      </c>
      <c r="C995" s="187">
        <v>201</v>
      </c>
      <c r="D995" s="187" t="s">
        <v>328</v>
      </c>
      <c r="E995" s="187" t="s">
        <v>340</v>
      </c>
      <c r="F995" s="188">
        <v>41604</v>
      </c>
      <c r="G995" s="188" t="s">
        <v>267</v>
      </c>
      <c r="H995" s="189" t="s">
        <v>26</v>
      </c>
      <c r="I995" s="189">
        <f>249000/2</f>
        <v>124500</v>
      </c>
      <c r="J995" s="190">
        <v>0.5</v>
      </c>
      <c r="K995" s="191">
        <f>MONTH(Tabela1[[#This Row],[Data da Venda]])</f>
        <v>11</v>
      </c>
      <c r="L995" s="191">
        <f>YEAR(Tabela1[[#This Row],[Data da Venda]])</f>
        <v>2013</v>
      </c>
    </row>
    <row r="996" spans="1:12" ht="15" hidden="1" customHeight="1">
      <c r="A996" s="185" t="s">
        <v>489</v>
      </c>
      <c r="B996" s="186" t="s">
        <v>490</v>
      </c>
      <c r="C996" s="187">
        <v>501</v>
      </c>
      <c r="D996" s="187" t="s">
        <v>328</v>
      </c>
      <c r="E996" s="187" t="s">
        <v>340</v>
      </c>
      <c r="F996" s="188">
        <v>41604</v>
      </c>
      <c r="G996" s="188" t="s">
        <v>172</v>
      </c>
      <c r="H996" s="189" t="s">
        <v>24</v>
      </c>
      <c r="I996" s="189">
        <v>257320</v>
      </c>
      <c r="J996" s="190">
        <v>1</v>
      </c>
      <c r="K996" s="191">
        <f>MONTH(Tabela1[[#This Row],[Data da Venda]])</f>
        <v>11</v>
      </c>
      <c r="L996" s="191">
        <f>YEAR(Tabela1[[#This Row],[Data da Venda]])</f>
        <v>2013</v>
      </c>
    </row>
    <row r="997" spans="1:12" ht="15" hidden="1" customHeight="1">
      <c r="A997" s="149" t="s">
        <v>489</v>
      </c>
      <c r="B997" s="150" t="s">
        <v>490</v>
      </c>
      <c r="C997" s="187">
        <v>611</v>
      </c>
      <c r="D997" s="187" t="s">
        <v>328</v>
      </c>
      <c r="E997" s="187" t="s">
        <v>340</v>
      </c>
      <c r="F997" s="188">
        <v>41604</v>
      </c>
      <c r="G997" s="188" t="s">
        <v>160</v>
      </c>
      <c r="H997" s="189" t="s">
        <v>23</v>
      </c>
      <c r="I997" s="189">
        <f>389000/2</f>
        <v>194500</v>
      </c>
      <c r="J997" s="190">
        <v>0.5</v>
      </c>
      <c r="K997" s="191">
        <f>MONTH(Tabela1[[#This Row],[Data da Venda]])</f>
        <v>11</v>
      </c>
      <c r="L997" s="191">
        <f>YEAR(Tabela1[[#This Row],[Data da Venda]])</f>
        <v>2013</v>
      </c>
    </row>
    <row r="998" spans="1:12" ht="15" hidden="1" customHeight="1">
      <c r="A998" s="149" t="s">
        <v>489</v>
      </c>
      <c r="B998" s="150" t="s">
        <v>490</v>
      </c>
      <c r="C998" s="187">
        <v>611</v>
      </c>
      <c r="D998" s="187" t="s">
        <v>328</v>
      </c>
      <c r="E998" s="187" t="s">
        <v>340</v>
      </c>
      <c r="F998" s="188">
        <v>41604</v>
      </c>
      <c r="G998" s="188" t="s">
        <v>177</v>
      </c>
      <c r="H998" s="189" t="s">
        <v>23</v>
      </c>
      <c r="I998" s="189">
        <f>389000/2</f>
        <v>194500</v>
      </c>
      <c r="J998" s="190">
        <v>0.5</v>
      </c>
      <c r="K998" s="191">
        <f>MONTH(Tabela1[[#This Row],[Data da Venda]])</f>
        <v>11</v>
      </c>
      <c r="L998" s="191">
        <f>YEAR(Tabela1[[#This Row],[Data da Venda]])</f>
        <v>2013</v>
      </c>
    </row>
    <row r="999" spans="1:12" ht="15" hidden="1" customHeight="1">
      <c r="A999" s="185" t="s">
        <v>489</v>
      </c>
      <c r="B999" s="150" t="s">
        <v>490</v>
      </c>
      <c r="C999" s="187">
        <v>1005</v>
      </c>
      <c r="D999" s="187" t="s">
        <v>329</v>
      </c>
      <c r="E999" s="187" t="s">
        <v>340</v>
      </c>
      <c r="F999" s="188">
        <v>41604</v>
      </c>
      <c r="G999" s="156" t="s">
        <v>465</v>
      </c>
      <c r="H999" s="189" t="s">
        <v>33</v>
      </c>
      <c r="I999" s="189">
        <v>351901.93</v>
      </c>
      <c r="J999" s="190">
        <v>1</v>
      </c>
      <c r="K999" s="191">
        <f>MONTH(Tabela1[[#This Row],[Data da Venda]])</f>
        <v>11</v>
      </c>
      <c r="L999" s="191">
        <f>YEAR(Tabela1[[#This Row],[Data da Venda]])</f>
        <v>2013</v>
      </c>
    </row>
    <row r="1000" spans="1:12" ht="15" hidden="1" customHeight="1">
      <c r="A1000" s="185" t="s">
        <v>489</v>
      </c>
      <c r="B1000" s="150" t="s">
        <v>490</v>
      </c>
      <c r="C1000" s="187">
        <v>1110</v>
      </c>
      <c r="D1000" s="187" t="s">
        <v>328</v>
      </c>
      <c r="E1000" s="187" t="s">
        <v>340</v>
      </c>
      <c r="F1000" s="188">
        <v>41604</v>
      </c>
      <c r="G1000" s="188" t="s">
        <v>224</v>
      </c>
      <c r="H1000" s="189" t="s">
        <v>61</v>
      </c>
      <c r="I1000" s="189">
        <v>284094.36</v>
      </c>
      <c r="J1000" s="190">
        <v>1</v>
      </c>
      <c r="K1000" s="191">
        <f>MONTH(Tabela1[[#This Row],[Data da Venda]])</f>
        <v>11</v>
      </c>
      <c r="L1000" s="191">
        <f>YEAR(Tabela1[[#This Row],[Data da Venda]])</f>
        <v>2013</v>
      </c>
    </row>
    <row r="1001" spans="1:12" ht="15" hidden="1" customHeight="1">
      <c r="A1001" s="185" t="s">
        <v>489</v>
      </c>
      <c r="B1001" s="150" t="s">
        <v>490</v>
      </c>
      <c r="C1001" s="187">
        <v>1615</v>
      </c>
      <c r="D1001" s="187" t="s">
        <v>328</v>
      </c>
      <c r="E1001" s="187" t="s">
        <v>340</v>
      </c>
      <c r="F1001" s="188">
        <v>41604</v>
      </c>
      <c r="G1001" s="188" t="s">
        <v>309</v>
      </c>
      <c r="H1001" s="189" t="s">
        <v>26</v>
      </c>
      <c r="I1001" s="189">
        <v>342250</v>
      </c>
      <c r="J1001" s="190">
        <v>1</v>
      </c>
      <c r="K1001" s="191">
        <f>MONTH(Tabela1[[#This Row],[Data da Venda]])</f>
        <v>11</v>
      </c>
      <c r="L1001" s="191">
        <f>YEAR(Tabela1[[#This Row],[Data da Venda]])</f>
        <v>2013</v>
      </c>
    </row>
    <row r="1002" spans="1:12" ht="15" hidden="1" customHeight="1">
      <c r="A1002" s="185" t="s">
        <v>489</v>
      </c>
      <c r="B1002" s="186" t="s">
        <v>490</v>
      </c>
      <c r="C1002" s="187">
        <v>105</v>
      </c>
      <c r="D1002" s="187" t="s">
        <v>328</v>
      </c>
      <c r="E1002" s="187" t="s">
        <v>340</v>
      </c>
      <c r="F1002" s="188">
        <v>41605</v>
      </c>
      <c r="G1002" s="188" t="s">
        <v>17</v>
      </c>
      <c r="H1002" s="189" t="s">
        <v>25</v>
      </c>
      <c r="I1002" s="189">
        <v>280646</v>
      </c>
      <c r="J1002" s="190">
        <v>1</v>
      </c>
      <c r="K1002" s="191">
        <f>MONTH(Tabela1[[#This Row],[Data da Venda]])</f>
        <v>11</v>
      </c>
      <c r="L1002" s="191">
        <f>YEAR(Tabela1[[#This Row],[Data da Venda]])</f>
        <v>2013</v>
      </c>
    </row>
    <row r="1003" spans="1:12" ht="15" hidden="1" customHeight="1">
      <c r="A1003" s="185" t="s">
        <v>489</v>
      </c>
      <c r="B1003" s="186" t="s">
        <v>490</v>
      </c>
      <c r="C1003" s="187">
        <v>5</v>
      </c>
      <c r="D1003" s="187" t="s">
        <v>328</v>
      </c>
      <c r="E1003" s="187" t="s">
        <v>340</v>
      </c>
      <c r="F1003" s="188">
        <v>41605</v>
      </c>
      <c r="G1003" s="188" t="s">
        <v>87</v>
      </c>
      <c r="H1003" s="189" t="s">
        <v>460</v>
      </c>
      <c r="I1003" s="189">
        <v>329460</v>
      </c>
      <c r="J1003" s="190">
        <v>1</v>
      </c>
      <c r="K1003" s="191">
        <f>MONTH(Tabela1[[#This Row],[Data da Venda]])</f>
        <v>11</v>
      </c>
      <c r="L1003" s="191">
        <f>YEAR(Tabela1[[#This Row],[Data da Venda]])</f>
        <v>2013</v>
      </c>
    </row>
    <row r="1004" spans="1:12" ht="15" hidden="1" customHeight="1">
      <c r="A1004" s="185" t="s">
        <v>489</v>
      </c>
      <c r="B1004" s="186" t="s">
        <v>490</v>
      </c>
      <c r="C1004" s="187">
        <v>813</v>
      </c>
      <c r="D1004" s="187" t="s">
        <v>328</v>
      </c>
      <c r="E1004" s="187" t="s">
        <v>340</v>
      </c>
      <c r="F1004" s="188">
        <v>41605</v>
      </c>
      <c r="G1004" s="188" t="s">
        <v>87</v>
      </c>
      <c r="H1004" s="189" t="s">
        <v>460</v>
      </c>
      <c r="I1004" s="189">
        <v>267450</v>
      </c>
      <c r="J1004" s="190">
        <v>1</v>
      </c>
      <c r="K1004" s="191">
        <f>MONTH(Tabela1[[#This Row],[Data da Venda]])</f>
        <v>11</v>
      </c>
      <c r="L1004" s="191">
        <f>YEAR(Tabela1[[#This Row],[Data da Venda]])</f>
        <v>2013</v>
      </c>
    </row>
    <row r="1005" spans="1:12" ht="15" hidden="1" customHeight="1">
      <c r="A1005" s="185" t="s">
        <v>489</v>
      </c>
      <c r="B1005" s="186" t="s">
        <v>490</v>
      </c>
      <c r="C1005" s="187">
        <v>1604</v>
      </c>
      <c r="D1005" s="187" t="s">
        <v>328</v>
      </c>
      <c r="E1005" s="187" t="s">
        <v>340</v>
      </c>
      <c r="F1005" s="188">
        <v>41605</v>
      </c>
      <c r="G1005" s="188" t="s">
        <v>197</v>
      </c>
      <c r="H1005" s="189" t="s">
        <v>23</v>
      </c>
      <c r="I1005" s="189">
        <v>265807.2</v>
      </c>
      <c r="J1005" s="190">
        <v>1</v>
      </c>
      <c r="K1005" s="191">
        <f>MONTH(Tabela1[[#This Row],[Data da Venda]])</f>
        <v>11</v>
      </c>
      <c r="L1005" s="191">
        <f>YEAR(Tabela1[[#This Row],[Data da Venda]])</f>
        <v>2013</v>
      </c>
    </row>
    <row r="1006" spans="1:12" ht="15" hidden="1" customHeight="1">
      <c r="A1006" s="185" t="s">
        <v>489</v>
      </c>
      <c r="B1006" s="186" t="s">
        <v>490</v>
      </c>
      <c r="C1006" s="187">
        <v>1719</v>
      </c>
      <c r="D1006" s="187" t="s">
        <v>328</v>
      </c>
      <c r="E1006" s="187" t="s">
        <v>340</v>
      </c>
      <c r="F1006" s="188">
        <v>41605</v>
      </c>
      <c r="G1006" s="188" t="s">
        <v>172</v>
      </c>
      <c r="H1006" s="189" t="s">
        <v>24</v>
      </c>
      <c r="I1006" s="189">
        <f>274195/2</f>
        <v>137097.5</v>
      </c>
      <c r="J1006" s="190">
        <v>0.5</v>
      </c>
      <c r="K1006" s="191">
        <f>MONTH(Tabela1[[#This Row],[Data da Venda]])</f>
        <v>11</v>
      </c>
      <c r="L1006" s="191">
        <f>YEAR(Tabela1[[#This Row],[Data da Venda]])</f>
        <v>2013</v>
      </c>
    </row>
    <row r="1007" spans="1:12" ht="15" hidden="1" customHeight="1">
      <c r="A1007" s="185" t="s">
        <v>489</v>
      </c>
      <c r="B1007" s="186" t="s">
        <v>490</v>
      </c>
      <c r="C1007" s="187">
        <v>1719</v>
      </c>
      <c r="D1007" s="187" t="s">
        <v>328</v>
      </c>
      <c r="E1007" s="187" t="s">
        <v>340</v>
      </c>
      <c r="F1007" s="188">
        <v>41605</v>
      </c>
      <c r="G1007" s="188" t="s">
        <v>196</v>
      </c>
      <c r="H1007" s="189" t="s">
        <v>24</v>
      </c>
      <c r="I1007" s="189">
        <f>274195/2</f>
        <v>137097.5</v>
      </c>
      <c r="J1007" s="160">
        <v>0.5</v>
      </c>
      <c r="K1007" s="191">
        <f>MONTH(Tabela1[[#This Row],[Data da Venda]])</f>
        <v>11</v>
      </c>
      <c r="L1007" s="191">
        <f>YEAR(Tabela1[[#This Row],[Data da Venda]])</f>
        <v>2013</v>
      </c>
    </row>
    <row r="1008" spans="1:12" ht="15" hidden="1" customHeight="1">
      <c r="A1008" s="185" t="s">
        <v>425</v>
      </c>
      <c r="B1008" s="186" t="s">
        <v>486</v>
      </c>
      <c r="C1008" s="187">
        <v>34</v>
      </c>
      <c r="D1008" s="187" t="s">
        <v>328</v>
      </c>
      <c r="E1008" s="187" t="s">
        <v>340</v>
      </c>
      <c r="F1008" s="188">
        <v>41606</v>
      </c>
      <c r="G1008" s="188" t="s">
        <v>291</v>
      </c>
      <c r="H1008" s="189" t="s">
        <v>61</v>
      </c>
      <c r="I1008" s="189">
        <v>386000</v>
      </c>
      <c r="J1008" s="190">
        <v>1</v>
      </c>
      <c r="K1008" s="191">
        <f>MONTH(Tabela1[[#This Row],[Data da Venda]])</f>
        <v>11</v>
      </c>
      <c r="L1008" s="191">
        <f>YEAR(Tabela1[[#This Row],[Data da Venda]])</f>
        <v>2013</v>
      </c>
    </row>
    <row r="1009" spans="1:12" ht="15" hidden="1" customHeight="1">
      <c r="A1009" s="185" t="s">
        <v>81</v>
      </c>
      <c r="B1009" s="264" t="s">
        <v>509</v>
      </c>
      <c r="C1009" s="187">
        <v>145</v>
      </c>
      <c r="D1009" s="187" t="s">
        <v>328</v>
      </c>
      <c r="E1009" s="187" t="s">
        <v>339</v>
      </c>
      <c r="F1009" s="188">
        <v>41606</v>
      </c>
      <c r="G1009" s="188" t="s">
        <v>309</v>
      </c>
      <c r="H1009" s="189" t="s">
        <v>26</v>
      </c>
      <c r="I1009" s="189">
        <v>900000</v>
      </c>
      <c r="J1009" s="190">
        <v>1</v>
      </c>
      <c r="K1009" s="191">
        <f>MONTH(Tabela1[[#This Row],[Data da Venda]])</f>
        <v>11</v>
      </c>
      <c r="L1009" s="191">
        <f>YEAR(Tabela1[[#This Row],[Data da Venda]])</f>
        <v>2013</v>
      </c>
    </row>
    <row r="1010" spans="1:12" ht="15" hidden="1" customHeight="1">
      <c r="A1010" s="185" t="s">
        <v>489</v>
      </c>
      <c r="B1010" s="186" t="s">
        <v>490</v>
      </c>
      <c r="C1010" s="187">
        <v>219</v>
      </c>
      <c r="D1010" s="187" t="s">
        <v>328</v>
      </c>
      <c r="E1010" s="187" t="s">
        <v>340</v>
      </c>
      <c r="F1010" s="188">
        <v>41606</v>
      </c>
      <c r="G1010" s="188" t="s">
        <v>18</v>
      </c>
      <c r="H1010" s="189" t="s">
        <v>25</v>
      </c>
      <c r="I1010" s="189">
        <v>242622</v>
      </c>
      <c r="J1010" s="190">
        <v>1</v>
      </c>
      <c r="K1010" s="191">
        <f>MONTH(Tabela1[[#This Row],[Data da Venda]])</f>
        <v>11</v>
      </c>
      <c r="L1010" s="191">
        <f>YEAR(Tabela1[[#This Row],[Data da Venda]])</f>
        <v>2013</v>
      </c>
    </row>
    <row r="1011" spans="1:12" ht="15" hidden="1" customHeight="1">
      <c r="A1011" s="185" t="s">
        <v>489</v>
      </c>
      <c r="B1011" s="186" t="s">
        <v>490</v>
      </c>
      <c r="C1011" s="187">
        <v>610</v>
      </c>
      <c r="D1011" s="187" t="s">
        <v>328</v>
      </c>
      <c r="E1011" s="187" t="s">
        <v>340</v>
      </c>
      <c r="F1011" s="188">
        <v>41606</v>
      </c>
      <c r="G1011" s="188" t="s">
        <v>39</v>
      </c>
      <c r="H1011" s="189" t="s">
        <v>27</v>
      </c>
      <c r="I1011" s="189">
        <v>271486.77</v>
      </c>
      <c r="J1011" s="190">
        <v>1</v>
      </c>
      <c r="K1011" s="191">
        <f>MONTH(Tabela1[[#This Row],[Data da Venda]])</f>
        <v>11</v>
      </c>
      <c r="L1011" s="191">
        <f>YEAR(Tabela1[[#This Row],[Data da Venda]])</f>
        <v>2013</v>
      </c>
    </row>
    <row r="1012" spans="1:12" ht="15" hidden="1" customHeight="1">
      <c r="A1012" s="185" t="s">
        <v>489</v>
      </c>
      <c r="B1012" s="186" t="s">
        <v>490</v>
      </c>
      <c r="C1012" s="187">
        <v>1402</v>
      </c>
      <c r="D1012" s="187" t="s">
        <v>328</v>
      </c>
      <c r="E1012" s="187" t="s">
        <v>340</v>
      </c>
      <c r="F1012" s="188">
        <v>41606</v>
      </c>
      <c r="G1012" s="188" t="s">
        <v>461</v>
      </c>
      <c r="H1012" s="189" t="s">
        <v>25</v>
      </c>
      <c r="I1012" s="189">
        <v>273200</v>
      </c>
      <c r="J1012" s="190">
        <v>1</v>
      </c>
      <c r="K1012" s="191">
        <f>MONTH(Tabela1[[#This Row],[Data da Venda]])</f>
        <v>11</v>
      </c>
      <c r="L1012" s="191">
        <f>YEAR(Tabela1[[#This Row],[Data da Venda]])</f>
        <v>2013</v>
      </c>
    </row>
    <row r="1013" spans="1:12" ht="15" hidden="1" customHeight="1">
      <c r="A1013" s="149" t="s">
        <v>191</v>
      </c>
      <c r="B1013" s="150" t="s">
        <v>385</v>
      </c>
      <c r="C1013" s="155">
        <v>153</v>
      </c>
      <c r="D1013" s="155" t="s">
        <v>328</v>
      </c>
      <c r="E1013" s="155" t="s">
        <v>339</v>
      </c>
      <c r="F1013" s="156">
        <v>41607</v>
      </c>
      <c r="G1013" s="156" t="s">
        <v>375</v>
      </c>
      <c r="H1013" s="157" t="s">
        <v>23</v>
      </c>
      <c r="I1013" s="157">
        <v>200000</v>
      </c>
      <c r="J1013" s="160">
        <v>1</v>
      </c>
      <c r="K1013" s="159">
        <f>MONTH(Tabela1[[#This Row],[Data da Venda]])</f>
        <v>11</v>
      </c>
      <c r="L1013" s="159">
        <f>YEAR(Tabela1[[#This Row],[Data da Venda]])</f>
        <v>2013</v>
      </c>
    </row>
    <row r="1014" spans="1:12" ht="15" hidden="1" customHeight="1">
      <c r="A1014" s="185" t="s">
        <v>470</v>
      </c>
      <c r="B1014" s="186" t="s">
        <v>472</v>
      </c>
      <c r="C1014" s="187">
        <v>61</v>
      </c>
      <c r="D1014" s="187" t="s">
        <v>328</v>
      </c>
      <c r="E1014" s="187" t="s">
        <v>340</v>
      </c>
      <c r="F1014" s="188">
        <v>41607</v>
      </c>
      <c r="G1014" s="188" t="s">
        <v>311</v>
      </c>
      <c r="H1014" s="189" t="s">
        <v>61</v>
      </c>
      <c r="I1014" s="189">
        <f>618927.98/2</f>
        <v>309463.99</v>
      </c>
      <c r="J1014" s="190">
        <v>0.5</v>
      </c>
      <c r="K1014" s="191">
        <f>MONTH(Tabela1[[#This Row],[Data da Venda]])</f>
        <v>11</v>
      </c>
      <c r="L1014" s="191">
        <f>YEAR(Tabela1[[#This Row],[Data da Venda]])</f>
        <v>2013</v>
      </c>
    </row>
    <row r="1015" spans="1:12" ht="15" hidden="1" customHeight="1">
      <c r="A1015" s="185" t="s">
        <v>470</v>
      </c>
      <c r="B1015" s="186" t="s">
        <v>472</v>
      </c>
      <c r="C1015" s="187">
        <v>61</v>
      </c>
      <c r="D1015" s="187" t="s">
        <v>328</v>
      </c>
      <c r="E1015" s="187" t="s">
        <v>340</v>
      </c>
      <c r="F1015" s="188">
        <v>41607</v>
      </c>
      <c r="G1015" s="188" t="s">
        <v>508</v>
      </c>
      <c r="H1015" s="189" t="s">
        <v>61</v>
      </c>
      <c r="I1015" s="189">
        <f>618927.98/2</f>
        <v>309463.99</v>
      </c>
      <c r="J1015" s="190">
        <v>0.5</v>
      </c>
      <c r="K1015" s="191">
        <f>MONTH(Tabela1[[#This Row],[Data da Venda]])</f>
        <v>11</v>
      </c>
      <c r="L1015" s="191">
        <f>YEAR(Tabela1[[#This Row],[Data da Venda]])</f>
        <v>2013</v>
      </c>
    </row>
    <row r="1016" spans="1:12" ht="15" hidden="1" customHeight="1">
      <c r="A1016" s="149" t="s">
        <v>186</v>
      </c>
      <c r="B1016" s="186" t="s">
        <v>418</v>
      </c>
      <c r="C1016" s="155">
        <v>1110</v>
      </c>
      <c r="D1016" s="155" t="s">
        <v>328</v>
      </c>
      <c r="E1016" s="155" t="s">
        <v>339</v>
      </c>
      <c r="F1016" s="156">
        <v>41607</v>
      </c>
      <c r="G1016" s="188" t="s">
        <v>77</v>
      </c>
      <c r="H1016" s="157" t="s">
        <v>27</v>
      </c>
      <c r="I1016" s="157">
        <v>444500</v>
      </c>
      <c r="J1016" s="160">
        <v>1</v>
      </c>
      <c r="K1016" s="159">
        <f>MONTH(Tabela1[[#This Row],[Data da Venda]])</f>
        <v>11</v>
      </c>
      <c r="L1016" s="159">
        <f>YEAR(Tabela1[[#This Row],[Data da Venda]])</f>
        <v>2013</v>
      </c>
    </row>
    <row r="1017" spans="1:12" ht="15" hidden="1" customHeight="1">
      <c r="A1017" s="185" t="s">
        <v>186</v>
      </c>
      <c r="B1017" s="186" t="s">
        <v>418</v>
      </c>
      <c r="C1017" s="187">
        <v>1111</v>
      </c>
      <c r="D1017" s="187" t="s">
        <v>328</v>
      </c>
      <c r="E1017" s="187" t="s">
        <v>339</v>
      </c>
      <c r="F1017" s="188">
        <v>41607</v>
      </c>
      <c r="G1017" s="188" t="s">
        <v>77</v>
      </c>
      <c r="H1017" s="189" t="s">
        <v>27</v>
      </c>
      <c r="I1017" s="189">
        <v>418500</v>
      </c>
      <c r="J1017" s="190">
        <v>1</v>
      </c>
      <c r="K1017" s="191">
        <f>MONTH(Tabela1[[#This Row],[Data da Venda]])</f>
        <v>11</v>
      </c>
      <c r="L1017" s="191">
        <f>YEAR(Tabela1[[#This Row],[Data da Venda]])</f>
        <v>2013</v>
      </c>
    </row>
    <row r="1018" spans="1:12" ht="15" hidden="1" customHeight="1">
      <c r="A1018" s="185" t="s">
        <v>233</v>
      </c>
      <c r="B1018" s="186" t="s">
        <v>428</v>
      </c>
      <c r="C1018" s="187">
        <v>65</v>
      </c>
      <c r="D1018" s="187" t="s">
        <v>328</v>
      </c>
      <c r="E1018" s="187" t="s">
        <v>339</v>
      </c>
      <c r="F1018" s="188">
        <v>41607</v>
      </c>
      <c r="G1018" s="188" t="s">
        <v>505</v>
      </c>
      <c r="H1018" s="189" t="s">
        <v>23</v>
      </c>
      <c r="I1018" s="189">
        <v>365000</v>
      </c>
      <c r="J1018" s="190">
        <v>1</v>
      </c>
      <c r="K1018" s="191">
        <f>MONTH(Tabela1[[#This Row],[Data da Venda]])</f>
        <v>11</v>
      </c>
      <c r="L1018" s="191">
        <f>YEAR(Tabela1[[#This Row],[Data da Venda]])</f>
        <v>2013</v>
      </c>
    </row>
    <row r="1019" spans="1:12" ht="15" hidden="1" customHeight="1">
      <c r="A1019" s="185" t="s">
        <v>470</v>
      </c>
      <c r="B1019" s="186" t="s">
        <v>471</v>
      </c>
      <c r="C1019" s="187">
        <v>35</v>
      </c>
      <c r="D1019" s="187" t="s">
        <v>328</v>
      </c>
      <c r="E1019" s="187" t="s">
        <v>340</v>
      </c>
      <c r="F1019" s="188">
        <v>41608</v>
      </c>
      <c r="G1019" s="188" t="s">
        <v>494</v>
      </c>
      <c r="H1019" s="189" t="s">
        <v>61</v>
      </c>
      <c r="I1019" s="189">
        <f>476700/2</f>
        <v>238350</v>
      </c>
      <c r="J1019" s="190">
        <v>0.5</v>
      </c>
      <c r="K1019" s="191">
        <f>MONTH(Tabela1[[#This Row],[Data da Venda]])</f>
        <v>11</v>
      </c>
      <c r="L1019" s="191">
        <f>YEAR(Tabela1[[#This Row],[Data da Venda]])</f>
        <v>2013</v>
      </c>
    </row>
    <row r="1020" spans="1:12" ht="15" hidden="1" customHeight="1">
      <c r="A1020" s="185" t="s">
        <v>470</v>
      </c>
      <c r="B1020" s="186" t="s">
        <v>471</v>
      </c>
      <c r="C1020" s="187">
        <v>35</v>
      </c>
      <c r="D1020" s="187" t="s">
        <v>328</v>
      </c>
      <c r="E1020" s="187" t="s">
        <v>340</v>
      </c>
      <c r="F1020" s="188">
        <v>41608</v>
      </c>
      <c r="G1020" s="188" t="s">
        <v>84</v>
      </c>
      <c r="H1020" s="189" t="s">
        <v>61</v>
      </c>
      <c r="I1020" s="189">
        <f>476700/2</f>
        <v>238350</v>
      </c>
      <c r="J1020" s="190">
        <v>0.5</v>
      </c>
      <c r="K1020" s="191">
        <f>MONTH(Tabela1[[#This Row],[Data da Venda]])</f>
        <v>11</v>
      </c>
      <c r="L1020" s="191">
        <f>YEAR(Tabela1[[#This Row],[Data da Venda]])</f>
        <v>2013</v>
      </c>
    </row>
    <row r="1021" spans="1:12" ht="15" hidden="1" customHeight="1">
      <c r="A1021" s="185" t="s">
        <v>470</v>
      </c>
      <c r="B1021" s="186" t="s">
        <v>472</v>
      </c>
      <c r="C1021" s="187">
        <v>41</v>
      </c>
      <c r="D1021" s="187" t="s">
        <v>328</v>
      </c>
      <c r="E1021" s="187" t="s">
        <v>340</v>
      </c>
      <c r="F1021" s="188">
        <v>41608</v>
      </c>
      <c r="G1021" s="188" t="s">
        <v>383</v>
      </c>
      <c r="H1021" s="189" t="s">
        <v>24</v>
      </c>
      <c r="I1021" s="189">
        <f>547100/2</f>
        <v>273550</v>
      </c>
      <c r="J1021" s="190">
        <v>0.5</v>
      </c>
      <c r="K1021" s="191">
        <f>MONTH(Tabela1[[#This Row],[Data da Venda]])</f>
        <v>11</v>
      </c>
      <c r="L1021" s="191">
        <f>YEAR(Tabela1[[#This Row],[Data da Venda]])</f>
        <v>2013</v>
      </c>
    </row>
    <row r="1022" spans="1:12" ht="15" hidden="1" customHeight="1">
      <c r="A1022" s="185" t="s">
        <v>470</v>
      </c>
      <c r="B1022" s="186" t="s">
        <v>472</v>
      </c>
      <c r="C1022" s="187">
        <v>41</v>
      </c>
      <c r="D1022" s="187" t="s">
        <v>328</v>
      </c>
      <c r="E1022" s="187" t="s">
        <v>340</v>
      </c>
      <c r="F1022" s="188">
        <v>41608</v>
      </c>
      <c r="G1022" s="188" t="s">
        <v>55</v>
      </c>
      <c r="H1022" s="189" t="s">
        <v>24</v>
      </c>
      <c r="I1022" s="189">
        <f>547100/2</f>
        <v>273550</v>
      </c>
      <c r="J1022" s="190">
        <v>0.5</v>
      </c>
      <c r="K1022" s="191">
        <f>MONTH(Tabela1[[#This Row],[Data da Venda]])</f>
        <v>11</v>
      </c>
      <c r="L1022" s="191">
        <f>YEAR(Tabela1[[#This Row],[Data da Venda]])</f>
        <v>2013</v>
      </c>
    </row>
    <row r="1023" spans="1:12" s="261" customFormat="1" ht="15" hidden="1" customHeight="1">
      <c r="A1023" s="185" t="s">
        <v>470</v>
      </c>
      <c r="B1023" s="186" t="s">
        <v>471</v>
      </c>
      <c r="C1023" s="187">
        <v>121</v>
      </c>
      <c r="D1023" s="187" t="s">
        <v>328</v>
      </c>
      <c r="E1023" s="187" t="s">
        <v>340</v>
      </c>
      <c r="F1023" s="188">
        <v>41608</v>
      </c>
      <c r="G1023" s="188" t="s">
        <v>147</v>
      </c>
      <c r="H1023" s="189" t="s">
        <v>26</v>
      </c>
      <c r="I1023" s="189">
        <f>652479/2</f>
        <v>326239.5</v>
      </c>
      <c r="J1023" s="190">
        <v>0.5</v>
      </c>
      <c r="K1023" s="191">
        <f>MONTH(Tabela1[[#This Row],[Data da Venda]])</f>
        <v>11</v>
      </c>
      <c r="L1023" s="191">
        <f>YEAR(Tabela1[[#This Row],[Data da Venda]])</f>
        <v>2013</v>
      </c>
    </row>
    <row r="1024" spans="1:12" ht="15" hidden="1" customHeight="1">
      <c r="A1024" s="185" t="s">
        <v>470</v>
      </c>
      <c r="B1024" s="186" t="s">
        <v>471</v>
      </c>
      <c r="C1024" s="187">
        <v>121</v>
      </c>
      <c r="D1024" s="187" t="s">
        <v>328</v>
      </c>
      <c r="E1024" s="187" t="s">
        <v>340</v>
      </c>
      <c r="F1024" s="188">
        <v>41608</v>
      </c>
      <c r="G1024" s="188" t="s">
        <v>309</v>
      </c>
      <c r="H1024" s="189" t="s">
        <v>26</v>
      </c>
      <c r="I1024" s="189">
        <f>652479/2</f>
        <v>326239.5</v>
      </c>
      <c r="J1024" s="190">
        <v>0.5</v>
      </c>
      <c r="K1024" s="191">
        <f>MONTH(Tabela1[[#This Row],[Data da Venda]])</f>
        <v>11</v>
      </c>
      <c r="L1024" s="191">
        <f>YEAR(Tabela1[[#This Row],[Data da Venda]])</f>
        <v>2013</v>
      </c>
    </row>
    <row r="1025" spans="1:12" ht="15" hidden="1" customHeight="1">
      <c r="A1025" s="185" t="s">
        <v>489</v>
      </c>
      <c r="B1025" s="186" t="s">
        <v>490</v>
      </c>
      <c r="C1025" s="187">
        <v>406</v>
      </c>
      <c r="D1025" s="187" t="s">
        <v>328</v>
      </c>
      <c r="E1025" s="187" t="s">
        <v>340</v>
      </c>
      <c r="F1025" s="188">
        <v>41608</v>
      </c>
      <c r="G1025" s="188" t="s">
        <v>310</v>
      </c>
      <c r="H1025" s="189" t="s">
        <v>61</v>
      </c>
      <c r="I1025" s="189">
        <v>345000</v>
      </c>
      <c r="J1025" s="190">
        <v>1</v>
      </c>
      <c r="K1025" s="191">
        <f>MONTH(Tabela1[[#This Row],[Data da Venda]])</f>
        <v>11</v>
      </c>
      <c r="L1025" s="191">
        <f>YEAR(Tabela1[[#This Row],[Data da Venda]])</f>
        <v>2013</v>
      </c>
    </row>
    <row r="1026" spans="1:12" ht="15" hidden="1" customHeight="1">
      <c r="A1026" s="185" t="s">
        <v>489</v>
      </c>
      <c r="B1026" s="186" t="s">
        <v>490</v>
      </c>
      <c r="C1026" s="187">
        <v>511</v>
      </c>
      <c r="D1026" s="187" t="s">
        <v>328</v>
      </c>
      <c r="E1026" s="187" t="s">
        <v>340</v>
      </c>
      <c r="F1026" s="188">
        <v>41608</v>
      </c>
      <c r="G1026" s="188" t="s">
        <v>39</v>
      </c>
      <c r="H1026" s="189" t="s">
        <v>27</v>
      </c>
      <c r="I1026" s="189">
        <v>396764</v>
      </c>
      <c r="J1026" s="190">
        <v>1</v>
      </c>
      <c r="K1026" s="191">
        <f>MONTH(Tabela1[[#This Row],[Data da Venda]])</f>
        <v>11</v>
      </c>
      <c r="L1026" s="191">
        <f>YEAR(Tabela1[[#This Row],[Data da Venda]])</f>
        <v>2013</v>
      </c>
    </row>
    <row r="1027" spans="1:12" ht="15" hidden="1" customHeight="1">
      <c r="A1027" s="185" t="s">
        <v>489</v>
      </c>
      <c r="B1027" s="186" t="s">
        <v>490</v>
      </c>
      <c r="C1027" s="187">
        <v>515</v>
      </c>
      <c r="D1027" s="187" t="s">
        <v>328</v>
      </c>
      <c r="E1027" s="187" t="s">
        <v>340</v>
      </c>
      <c r="F1027" s="188">
        <v>41608</v>
      </c>
      <c r="G1027" s="188" t="s">
        <v>160</v>
      </c>
      <c r="H1027" s="189" t="s">
        <v>23</v>
      </c>
      <c r="I1027" s="189">
        <f>365442.26/2</f>
        <v>182721.13</v>
      </c>
      <c r="J1027" s="190">
        <v>0.5</v>
      </c>
      <c r="K1027" s="191">
        <f>MONTH(Tabela1[[#This Row],[Data da Venda]])</f>
        <v>11</v>
      </c>
      <c r="L1027" s="191">
        <f>YEAR(Tabela1[[#This Row],[Data da Venda]])</f>
        <v>2013</v>
      </c>
    </row>
    <row r="1028" spans="1:12" ht="15" hidden="1" customHeight="1">
      <c r="A1028" s="185" t="s">
        <v>489</v>
      </c>
      <c r="B1028" s="186" t="s">
        <v>490</v>
      </c>
      <c r="C1028" s="187">
        <v>515</v>
      </c>
      <c r="D1028" s="187" t="s">
        <v>328</v>
      </c>
      <c r="E1028" s="187" t="s">
        <v>340</v>
      </c>
      <c r="F1028" s="188">
        <v>41608</v>
      </c>
      <c r="G1028" s="188" t="s">
        <v>177</v>
      </c>
      <c r="H1028" s="189" t="s">
        <v>23</v>
      </c>
      <c r="I1028" s="189">
        <f>365442.26/2</f>
        <v>182721.13</v>
      </c>
      <c r="J1028" s="190">
        <v>0.5</v>
      </c>
      <c r="K1028" s="191">
        <f>MONTH(Tabela1[[#This Row],[Data da Venda]])</f>
        <v>11</v>
      </c>
      <c r="L1028" s="191">
        <f>YEAR(Tabela1[[#This Row],[Data da Venda]])</f>
        <v>2013</v>
      </c>
    </row>
    <row r="1029" spans="1:12" ht="15" hidden="1" customHeight="1">
      <c r="A1029" s="185" t="s">
        <v>489</v>
      </c>
      <c r="B1029" s="186" t="s">
        <v>490</v>
      </c>
      <c r="C1029" s="187">
        <v>1006</v>
      </c>
      <c r="D1029" s="187" t="s">
        <v>328</v>
      </c>
      <c r="E1029" s="187" t="s">
        <v>340</v>
      </c>
      <c r="F1029" s="188">
        <v>41608</v>
      </c>
      <c r="G1029" s="188" t="s">
        <v>173</v>
      </c>
      <c r="H1029" s="189" t="s">
        <v>25</v>
      </c>
      <c r="I1029" s="189">
        <v>352750</v>
      </c>
      <c r="J1029" s="190">
        <v>1</v>
      </c>
      <c r="K1029" s="191">
        <f>MONTH(Tabela1[[#This Row],[Data da Venda]])</f>
        <v>11</v>
      </c>
      <c r="L1029" s="191">
        <f>YEAR(Tabela1[[#This Row],[Data da Venda]])</f>
        <v>2013</v>
      </c>
    </row>
    <row r="1030" spans="1:12" ht="15" hidden="1" customHeight="1">
      <c r="A1030" s="185" t="s">
        <v>489</v>
      </c>
      <c r="B1030" s="186" t="s">
        <v>490</v>
      </c>
      <c r="C1030" s="187">
        <v>1116</v>
      </c>
      <c r="D1030" s="187" t="s">
        <v>328</v>
      </c>
      <c r="E1030" s="187" t="s">
        <v>340</v>
      </c>
      <c r="F1030" s="188">
        <v>41608</v>
      </c>
      <c r="G1030" s="188" t="s">
        <v>268</v>
      </c>
      <c r="H1030" s="189" t="s">
        <v>24</v>
      </c>
      <c r="I1030" s="189">
        <f>356464.18/2</f>
        <v>178232.09</v>
      </c>
      <c r="J1030" s="190">
        <v>0.5</v>
      </c>
      <c r="K1030" s="191">
        <f>MONTH(Tabela1[[#This Row],[Data da Venda]])</f>
        <v>11</v>
      </c>
      <c r="L1030" s="191">
        <f>YEAR(Tabela1[[#This Row],[Data da Venda]])</f>
        <v>2013</v>
      </c>
    </row>
    <row r="1031" spans="1:12" ht="15" hidden="1" customHeight="1">
      <c r="A1031" s="185" t="s">
        <v>489</v>
      </c>
      <c r="B1031" s="186" t="s">
        <v>490</v>
      </c>
      <c r="C1031" s="187">
        <v>1116</v>
      </c>
      <c r="D1031" s="187" t="s">
        <v>328</v>
      </c>
      <c r="E1031" s="187" t="s">
        <v>340</v>
      </c>
      <c r="F1031" s="188">
        <v>41608</v>
      </c>
      <c r="G1031" s="188" t="s">
        <v>267</v>
      </c>
      <c r="H1031" s="189" t="s">
        <v>26</v>
      </c>
      <c r="I1031" s="189">
        <f>356464.18/2</f>
        <v>178232.09</v>
      </c>
      <c r="J1031" s="190">
        <v>0.5</v>
      </c>
      <c r="K1031" s="191">
        <f>MONTH(Tabela1[[#This Row],[Data da Venda]])</f>
        <v>11</v>
      </c>
      <c r="L1031" s="191">
        <f>YEAR(Tabela1[[#This Row],[Data da Venda]])</f>
        <v>2013</v>
      </c>
    </row>
    <row r="1032" spans="1:12" ht="15" hidden="1" customHeight="1">
      <c r="A1032" s="149" t="s">
        <v>489</v>
      </c>
      <c r="B1032" s="150" t="s">
        <v>490</v>
      </c>
      <c r="C1032" s="187">
        <v>1205</v>
      </c>
      <c r="D1032" s="187" t="s">
        <v>328</v>
      </c>
      <c r="E1032" s="187" t="s">
        <v>340</v>
      </c>
      <c r="F1032" s="188">
        <v>41608</v>
      </c>
      <c r="G1032" s="188" t="s">
        <v>44</v>
      </c>
      <c r="H1032" s="189" t="s">
        <v>25</v>
      </c>
      <c r="I1032" s="189">
        <f>357481.04/2</f>
        <v>178740.52</v>
      </c>
      <c r="J1032" s="190">
        <v>0.5</v>
      </c>
      <c r="K1032" s="191">
        <f>MONTH(Tabela1[[#This Row],[Data da Venda]])</f>
        <v>11</v>
      </c>
      <c r="L1032" s="191">
        <f>YEAR(Tabela1[[#This Row],[Data da Venda]])</f>
        <v>2013</v>
      </c>
    </row>
    <row r="1033" spans="1:12" ht="15" hidden="1" customHeight="1">
      <c r="A1033" s="149" t="s">
        <v>489</v>
      </c>
      <c r="B1033" s="150" t="s">
        <v>490</v>
      </c>
      <c r="C1033" s="187">
        <v>1205</v>
      </c>
      <c r="D1033" s="187" t="s">
        <v>328</v>
      </c>
      <c r="E1033" s="187" t="s">
        <v>340</v>
      </c>
      <c r="F1033" s="188">
        <v>41608</v>
      </c>
      <c r="G1033" s="188" t="s">
        <v>62</v>
      </c>
      <c r="H1033" s="189" t="s">
        <v>25</v>
      </c>
      <c r="I1033" s="189">
        <f>357481.04/2</f>
        <v>178740.52</v>
      </c>
      <c r="J1033" s="190">
        <v>0.5</v>
      </c>
      <c r="K1033" s="191">
        <f>MONTH(Tabela1[[#This Row],[Data da Venda]])</f>
        <v>11</v>
      </c>
      <c r="L1033" s="191">
        <f>YEAR(Tabela1[[#This Row],[Data da Venda]])</f>
        <v>2013</v>
      </c>
    </row>
    <row r="1034" spans="1:12" ht="15" hidden="1" customHeight="1">
      <c r="A1034" s="149" t="s">
        <v>489</v>
      </c>
      <c r="B1034" s="150" t="s">
        <v>490</v>
      </c>
      <c r="C1034" s="155">
        <v>1306</v>
      </c>
      <c r="D1034" s="155" t="s">
        <v>328</v>
      </c>
      <c r="E1034" s="155" t="s">
        <v>340</v>
      </c>
      <c r="F1034" s="156">
        <v>41608</v>
      </c>
      <c r="G1034" s="156" t="s">
        <v>18</v>
      </c>
      <c r="H1034" s="157" t="s">
        <v>25</v>
      </c>
      <c r="I1034" s="157">
        <v>330300</v>
      </c>
      <c r="J1034" s="160">
        <v>1</v>
      </c>
      <c r="K1034" s="159">
        <f>MONTH(Tabela1[[#This Row],[Data da Venda]])</f>
        <v>11</v>
      </c>
      <c r="L1034" s="159">
        <f>YEAR(Tabela1[[#This Row],[Data da Venda]])</f>
        <v>2013</v>
      </c>
    </row>
    <row r="1035" spans="1:12" ht="15" hidden="1" customHeight="1">
      <c r="A1035" s="149" t="s">
        <v>489</v>
      </c>
      <c r="B1035" s="150" t="s">
        <v>490</v>
      </c>
      <c r="C1035" s="155">
        <v>1311</v>
      </c>
      <c r="D1035" s="155" t="s">
        <v>328</v>
      </c>
      <c r="E1035" s="155" t="s">
        <v>340</v>
      </c>
      <c r="F1035" s="156">
        <v>41608</v>
      </c>
      <c r="G1035" s="156" t="s">
        <v>507</v>
      </c>
      <c r="H1035" s="157" t="s">
        <v>357</v>
      </c>
      <c r="I1035" s="157">
        <v>396923.84</v>
      </c>
      <c r="J1035" s="160">
        <v>1</v>
      </c>
      <c r="K1035" s="159">
        <f>MONTH(Tabela1[[#This Row],[Data da Venda]])</f>
        <v>11</v>
      </c>
      <c r="L1035" s="159">
        <f>YEAR(Tabela1[[#This Row],[Data da Venda]])</f>
        <v>2013</v>
      </c>
    </row>
    <row r="1036" spans="1:12" ht="15" hidden="1" customHeight="1">
      <c r="A1036" s="185" t="s">
        <v>489</v>
      </c>
      <c r="B1036" s="186" t="s">
        <v>490</v>
      </c>
      <c r="C1036" s="187">
        <v>1405</v>
      </c>
      <c r="D1036" s="187" t="s">
        <v>328</v>
      </c>
      <c r="E1036" s="187" t="s">
        <v>340</v>
      </c>
      <c r="F1036" s="188">
        <v>41608</v>
      </c>
      <c r="G1036" s="188" t="s">
        <v>268</v>
      </c>
      <c r="H1036" s="189" t="s">
        <v>24</v>
      </c>
      <c r="I1036" s="189">
        <f>356628/2</f>
        <v>178314</v>
      </c>
      <c r="J1036" s="190">
        <v>0.5</v>
      </c>
      <c r="K1036" s="191">
        <f>MONTH(Tabela1[[#This Row],[Data da Venda]])</f>
        <v>11</v>
      </c>
      <c r="L1036" s="191">
        <f>YEAR(Tabela1[[#This Row],[Data da Venda]])</f>
        <v>2013</v>
      </c>
    </row>
    <row r="1037" spans="1:12" ht="15" hidden="1" customHeight="1">
      <c r="A1037" s="185" t="s">
        <v>489</v>
      </c>
      <c r="B1037" s="186" t="s">
        <v>490</v>
      </c>
      <c r="C1037" s="187">
        <v>1405</v>
      </c>
      <c r="D1037" s="187" t="s">
        <v>328</v>
      </c>
      <c r="E1037" s="187" t="s">
        <v>340</v>
      </c>
      <c r="F1037" s="188">
        <v>41608</v>
      </c>
      <c r="G1037" s="188" t="s">
        <v>267</v>
      </c>
      <c r="H1037" s="189" t="s">
        <v>26</v>
      </c>
      <c r="I1037" s="189">
        <f>356628/2</f>
        <v>178314</v>
      </c>
      <c r="J1037" s="190">
        <v>0.5</v>
      </c>
      <c r="K1037" s="191">
        <f>MONTH(Tabela1[[#This Row],[Data da Venda]])</f>
        <v>11</v>
      </c>
      <c r="L1037" s="191">
        <f>YEAR(Tabela1[[#This Row],[Data da Venda]])</f>
        <v>2013</v>
      </c>
    </row>
    <row r="1038" spans="1:12" ht="15" hidden="1" customHeight="1">
      <c r="A1038" s="149" t="s">
        <v>489</v>
      </c>
      <c r="B1038" s="150" t="s">
        <v>490</v>
      </c>
      <c r="C1038" s="155">
        <v>1410</v>
      </c>
      <c r="D1038" s="155" t="s">
        <v>328</v>
      </c>
      <c r="E1038" s="155" t="s">
        <v>340</v>
      </c>
      <c r="F1038" s="156">
        <v>41608</v>
      </c>
      <c r="G1038" s="156" t="s">
        <v>162</v>
      </c>
      <c r="H1038" s="157" t="s">
        <v>25</v>
      </c>
      <c r="I1038" s="157">
        <f>263182/2</f>
        <v>131591</v>
      </c>
      <c r="J1038" s="160">
        <v>0.5</v>
      </c>
      <c r="K1038" s="159">
        <f>MONTH(Tabela1[[#This Row],[Data da Venda]])</f>
        <v>11</v>
      </c>
      <c r="L1038" s="159">
        <f>YEAR(Tabela1[[#This Row],[Data da Venda]])</f>
        <v>2013</v>
      </c>
    </row>
    <row r="1039" spans="1:12" ht="15" hidden="1" customHeight="1">
      <c r="A1039" s="149" t="s">
        <v>489</v>
      </c>
      <c r="B1039" s="150" t="s">
        <v>490</v>
      </c>
      <c r="C1039" s="155">
        <v>1410</v>
      </c>
      <c r="D1039" s="155" t="s">
        <v>328</v>
      </c>
      <c r="E1039" s="155" t="s">
        <v>340</v>
      </c>
      <c r="F1039" s="156">
        <v>41608</v>
      </c>
      <c r="G1039" s="156" t="s">
        <v>267</v>
      </c>
      <c r="H1039" s="157" t="s">
        <v>26</v>
      </c>
      <c r="I1039" s="157">
        <f>263182/2</f>
        <v>131591</v>
      </c>
      <c r="J1039" s="160">
        <v>0.5</v>
      </c>
      <c r="K1039" s="159">
        <f>MONTH(Tabela1[[#This Row],[Data da Venda]])</f>
        <v>11</v>
      </c>
      <c r="L1039" s="159">
        <f>YEAR(Tabela1[[#This Row],[Data da Venda]])</f>
        <v>2013</v>
      </c>
    </row>
    <row r="1040" spans="1:12" ht="15" hidden="1" customHeight="1">
      <c r="A1040" s="149" t="s">
        <v>489</v>
      </c>
      <c r="B1040" s="150" t="s">
        <v>490</v>
      </c>
      <c r="C1040" s="155">
        <v>1414</v>
      </c>
      <c r="D1040" s="155" t="s">
        <v>329</v>
      </c>
      <c r="E1040" s="155" t="s">
        <v>340</v>
      </c>
      <c r="F1040" s="156">
        <v>41608</v>
      </c>
      <c r="G1040" s="156" t="s">
        <v>465</v>
      </c>
      <c r="H1040" s="157" t="s">
        <v>33</v>
      </c>
      <c r="I1040" s="157">
        <v>238299.91</v>
      </c>
      <c r="J1040" s="160">
        <v>1</v>
      </c>
      <c r="K1040" s="159">
        <f>MONTH(Tabela1[[#This Row],[Data da Venda]])</f>
        <v>11</v>
      </c>
      <c r="L1040" s="159">
        <f>YEAR(Tabela1[[#This Row],[Data da Venda]])</f>
        <v>2013</v>
      </c>
    </row>
    <row r="1041" spans="1:12" ht="15" hidden="1" customHeight="1">
      <c r="A1041" s="149" t="s">
        <v>489</v>
      </c>
      <c r="B1041" s="150" t="s">
        <v>490</v>
      </c>
      <c r="C1041" s="155">
        <v>1513</v>
      </c>
      <c r="D1041" s="155" t="s">
        <v>328</v>
      </c>
      <c r="E1041" s="155" t="s">
        <v>340</v>
      </c>
      <c r="F1041" s="156">
        <v>41608</v>
      </c>
      <c r="G1041" s="156" t="s">
        <v>129</v>
      </c>
      <c r="H1041" s="157" t="s">
        <v>61</v>
      </c>
      <c r="I1041" s="157">
        <f>288980.55/2</f>
        <v>144490.27499999999</v>
      </c>
      <c r="J1041" s="160">
        <v>0.5</v>
      </c>
      <c r="K1041" s="159">
        <f>MONTH(Tabela1[[#This Row],[Data da Venda]])</f>
        <v>11</v>
      </c>
      <c r="L1041" s="159">
        <f>YEAR(Tabela1[[#This Row],[Data da Venda]])</f>
        <v>2013</v>
      </c>
    </row>
    <row r="1042" spans="1:12" ht="15" hidden="1" customHeight="1">
      <c r="A1042" s="149" t="s">
        <v>489</v>
      </c>
      <c r="B1042" s="150" t="s">
        <v>490</v>
      </c>
      <c r="C1042" s="155">
        <v>1513</v>
      </c>
      <c r="D1042" s="155" t="s">
        <v>328</v>
      </c>
      <c r="E1042" s="155" t="s">
        <v>340</v>
      </c>
      <c r="F1042" s="156">
        <v>41608</v>
      </c>
      <c r="G1042" s="156" t="s">
        <v>506</v>
      </c>
      <c r="H1042" s="157" t="s">
        <v>61</v>
      </c>
      <c r="I1042" s="157">
        <f>288980.55/2</f>
        <v>144490.27499999999</v>
      </c>
      <c r="J1042" s="160">
        <v>0.5</v>
      </c>
      <c r="K1042" s="159">
        <f>MONTH(Tabela1[[#This Row],[Data da Venda]])</f>
        <v>11</v>
      </c>
      <c r="L1042" s="159">
        <f>YEAR(Tabela1[[#This Row],[Data da Venda]])</f>
        <v>2013</v>
      </c>
    </row>
    <row r="1043" spans="1:12" ht="15" hidden="1" customHeight="1">
      <c r="A1043" s="149" t="s">
        <v>489</v>
      </c>
      <c r="B1043" s="150" t="s">
        <v>490</v>
      </c>
      <c r="C1043" s="155">
        <v>1602</v>
      </c>
      <c r="D1043" s="155" t="s">
        <v>328</v>
      </c>
      <c r="E1043" s="155" t="s">
        <v>340</v>
      </c>
      <c r="F1043" s="156">
        <v>41608</v>
      </c>
      <c r="G1043" s="156" t="s">
        <v>383</v>
      </c>
      <c r="H1043" s="157" t="s">
        <v>24</v>
      </c>
      <c r="I1043" s="157">
        <f>272309.22/2</f>
        <v>136154.60999999999</v>
      </c>
      <c r="J1043" s="160">
        <v>0.5</v>
      </c>
      <c r="K1043" s="159">
        <f>MONTH(Tabela1[[#This Row],[Data da Venda]])</f>
        <v>11</v>
      </c>
      <c r="L1043" s="159">
        <f>YEAR(Tabela1[[#This Row],[Data da Venda]])</f>
        <v>2013</v>
      </c>
    </row>
    <row r="1044" spans="1:12" ht="15" hidden="1" customHeight="1">
      <c r="A1044" s="149" t="s">
        <v>489</v>
      </c>
      <c r="B1044" s="150" t="s">
        <v>490</v>
      </c>
      <c r="C1044" s="155">
        <v>1602</v>
      </c>
      <c r="D1044" s="155" t="s">
        <v>328</v>
      </c>
      <c r="E1044" s="155" t="s">
        <v>340</v>
      </c>
      <c r="F1044" s="156">
        <v>41608</v>
      </c>
      <c r="G1044" s="156" t="s">
        <v>497</v>
      </c>
      <c r="H1044" s="157" t="s">
        <v>24</v>
      </c>
      <c r="I1044" s="157">
        <f>272309.22/2</f>
        <v>136154.60999999999</v>
      </c>
      <c r="J1044" s="160">
        <v>0.5</v>
      </c>
      <c r="K1044" s="159">
        <f>MONTH(Tabela1[[#This Row],[Data da Venda]])</f>
        <v>11</v>
      </c>
      <c r="L1044" s="159">
        <f>YEAR(Tabela1[[#This Row],[Data da Venda]])</f>
        <v>2013</v>
      </c>
    </row>
    <row r="1045" spans="1:12" ht="15" hidden="1" customHeight="1">
      <c r="A1045" s="149" t="s">
        <v>489</v>
      </c>
      <c r="B1045" s="150" t="s">
        <v>490</v>
      </c>
      <c r="C1045" s="187">
        <v>1610</v>
      </c>
      <c r="D1045" s="187" t="s">
        <v>328</v>
      </c>
      <c r="E1045" s="187" t="s">
        <v>340</v>
      </c>
      <c r="F1045" s="188">
        <v>41608</v>
      </c>
      <c r="G1045" s="188" t="s">
        <v>196</v>
      </c>
      <c r="H1045" s="189" t="s">
        <v>24</v>
      </c>
      <c r="I1045" s="189">
        <v>288528.84999999998</v>
      </c>
      <c r="J1045" s="190">
        <v>1</v>
      </c>
      <c r="K1045" s="191">
        <f>MONTH(Tabela1[[#This Row],[Data da Venda]])</f>
        <v>11</v>
      </c>
      <c r="L1045" s="191">
        <f>YEAR(Tabela1[[#This Row],[Data da Venda]])</f>
        <v>2013</v>
      </c>
    </row>
    <row r="1046" spans="1:12" ht="15" hidden="1" customHeight="1">
      <c r="A1046" s="149" t="s">
        <v>489</v>
      </c>
      <c r="B1046" s="150" t="s">
        <v>490</v>
      </c>
      <c r="C1046" s="187">
        <v>1607</v>
      </c>
      <c r="D1046" s="187" t="s">
        <v>328</v>
      </c>
      <c r="E1046" s="187" t="s">
        <v>340</v>
      </c>
      <c r="F1046" s="188">
        <v>41608</v>
      </c>
      <c r="G1046" s="188" t="s">
        <v>160</v>
      </c>
      <c r="H1046" s="189" t="s">
        <v>23</v>
      </c>
      <c r="I1046" s="189">
        <f>287000/2</f>
        <v>143500</v>
      </c>
      <c r="J1046" s="190">
        <v>0.5</v>
      </c>
      <c r="K1046" s="191">
        <f>MONTH(Tabela1[[#This Row],[Data da Venda]])</f>
        <v>11</v>
      </c>
      <c r="L1046" s="191">
        <f>YEAR(Tabela1[[#This Row],[Data da Venda]])</f>
        <v>2013</v>
      </c>
    </row>
    <row r="1047" spans="1:12" ht="15" hidden="1" customHeight="1">
      <c r="A1047" s="149" t="s">
        <v>489</v>
      </c>
      <c r="B1047" s="150" t="s">
        <v>490</v>
      </c>
      <c r="C1047" s="187">
        <v>1607</v>
      </c>
      <c r="D1047" s="187" t="s">
        <v>328</v>
      </c>
      <c r="E1047" s="187" t="s">
        <v>340</v>
      </c>
      <c r="F1047" s="188">
        <v>41608</v>
      </c>
      <c r="G1047" s="188" t="s">
        <v>177</v>
      </c>
      <c r="H1047" s="189" t="s">
        <v>23</v>
      </c>
      <c r="I1047" s="189">
        <f>287000/2</f>
        <v>143500</v>
      </c>
      <c r="J1047" s="190">
        <v>0.5</v>
      </c>
      <c r="K1047" s="191">
        <f>MONTH(Tabela1[[#This Row],[Data da Venda]])</f>
        <v>11</v>
      </c>
      <c r="L1047" s="191">
        <f>YEAR(Tabela1[[#This Row],[Data da Venda]])</f>
        <v>2013</v>
      </c>
    </row>
    <row r="1048" spans="1:12" ht="15" hidden="1" customHeight="1">
      <c r="A1048" s="149" t="s">
        <v>489</v>
      </c>
      <c r="B1048" s="150" t="s">
        <v>490</v>
      </c>
      <c r="C1048" s="155">
        <v>1616</v>
      </c>
      <c r="D1048" s="155" t="s">
        <v>328</v>
      </c>
      <c r="E1048" s="155" t="s">
        <v>340</v>
      </c>
      <c r="F1048" s="156">
        <v>41608</v>
      </c>
      <c r="G1048" s="156" t="s">
        <v>494</v>
      </c>
      <c r="H1048" s="157" t="s">
        <v>61</v>
      </c>
      <c r="I1048" s="157">
        <f>356000/2</f>
        <v>178000</v>
      </c>
      <c r="J1048" s="160">
        <v>0.5</v>
      </c>
      <c r="K1048" s="159">
        <f>MONTH(Tabela1[[#This Row],[Data da Venda]])</f>
        <v>11</v>
      </c>
      <c r="L1048" s="159">
        <f>YEAR(Tabela1[[#This Row],[Data da Venda]])</f>
        <v>2013</v>
      </c>
    </row>
    <row r="1049" spans="1:12" ht="15" hidden="1" customHeight="1">
      <c r="A1049" s="149" t="s">
        <v>489</v>
      </c>
      <c r="B1049" s="150" t="s">
        <v>490</v>
      </c>
      <c r="C1049" s="155">
        <v>1616</v>
      </c>
      <c r="D1049" s="155" t="s">
        <v>328</v>
      </c>
      <c r="E1049" s="155" t="s">
        <v>340</v>
      </c>
      <c r="F1049" s="156">
        <v>41608</v>
      </c>
      <c r="G1049" s="156" t="s">
        <v>84</v>
      </c>
      <c r="H1049" s="157" t="s">
        <v>61</v>
      </c>
      <c r="I1049" s="157">
        <f>356000/2</f>
        <v>178000</v>
      </c>
      <c r="J1049" s="160">
        <v>0.5</v>
      </c>
      <c r="K1049" s="159">
        <f>MONTH(Tabela1[[#This Row],[Data da Venda]])</f>
        <v>11</v>
      </c>
      <c r="L1049" s="159">
        <f>YEAR(Tabela1[[#This Row],[Data da Venda]])</f>
        <v>2013</v>
      </c>
    </row>
    <row r="1050" spans="1:12" ht="15" hidden="1" customHeight="1">
      <c r="A1050" s="185" t="s">
        <v>489</v>
      </c>
      <c r="B1050" s="186" t="s">
        <v>490</v>
      </c>
      <c r="C1050" s="187">
        <v>1709</v>
      </c>
      <c r="D1050" s="187" t="s">
        <v>328</v>
      </c>
      <c r="E1050" s="187" t="s">
        <v>340</v>
      </c>
      <c r="F1050" s="188">
        <v>41608</v>
      </c>
      <c r="G1050" s="188" t="s">
        <v>129</v>
      </c>
      <c r="H1050" s="189" t="s">
        <v>61</v>
      </c>
      <c r="I1050" s="189">
        <f>288980.55/2</f>
        <v>144490.27499999999</v>
      </c>
      <c r="J1050" s="190">
        <v>0.5</v>
      </c>
      <c r="K1050" s="191">
        <f>MONTH(Tabela1[[#This Row],[Data da Venda]])</f>
        <v>11</v>
      </c>
      <c r="L1050" s="191">
        <f>YEAR(Tabela1[[#This Row],[Data da Venda]])</f>
        <v>2013</v>
      </c>
    </row>
    <row r="1051" spans="1:12" ht="15" hidden="1" customHeight="1">
      <c r="A1051" s="185" t="s">
        <v>489</v>
      </c>
      <c r="B1051" s="186" t="s">
        <v>490</v>
      </c>
      <c r="C1051" s="187">
        <v>1709</v>
      </c>
      <c r="D1051" s="187" t="s">
        <v>328</v>
      </c>
      <c r="E1051" s="187" t="s">
        <v>340</v>
      </c>
      <c r="F1051" s="188">
        <v>41608</v>
      </c>
      <c r="G1051" s="188" t="s">
        <v>506</v>
      </c>
      <c r="H1051" s="189" t="s">
        <v>61</v>
      </c>
      <c r="I1051" s="189">
        <f>288980.55/2</f>
        <v>144490.27499999999</v>
      </c>
      <c r="J1051" s="190">
        <v>0.5</v>
      </c>
      <c r="K1051" s="191">
        <f>MONTH(Tabela1[[#This Row],[Data da Venda]])</f>
        <v>11</v>
      </c>
      <c r="L1051" s="191">
        <f>YEAR(Tabela1[[#This Row],[Data da Venda]])</f>
        <v>2013</v>
      </c>
    </row>
    <row r="1052" spans="1:12" ht="15" hidden="1" customHeight="1">
      <c r="A1052" s="149" t="s">
        <v>427</v>
      </c>
      <c r="B1052" s="193" t="s">
        <v>517</v>
      </c>
      <c r="C1052" s="155">
        <v>614</v>
      </c>
      <c r="D1052" s="155" t="s">
        <v>328</v>
      </c>
      <c r="E1052" s="155" t="s">
        <v>339</v>
      </c>
      <c r="F1052" s="156">
        <v>41608</v>
      </c>
      <c r="G1052" s="156" t="s">
        <v>39</v>
      </c>
      <c r="H1052" s="157" t="s">
        <v>27</v>
      </c>
      <c r="I1052" s="157">
        <v>412919.26</v>
      </c>
      <c r="J1052" s="160">
        <v>1</v>
      </c>
      <c r="K1052" s="159">
        <f>MONTH(Tabela1[[#This Row],[Data da Venda]])</f>
        <v>11</v>
      </c>
      <c r="L1052" s="159">
        <f>YEAR(Tabela1[[#This Row],[Data da Venda]])</f>
        <v>2013</v>
      </c>
    </row>
    <row r="1053" spans="1:12" ht="15" hidden="1" customHeight="1">
      <c r="A1053" s="185" t="s">
        <v>470</v>
      </c>
      <c r="B1053" s="186" t="s">
        <v>471</v>
      </c>
      <c r="C1053" s="187">
        <v>13</v>
      </c>
      <c r="D1053" s="187" t="s">
        <v>328</v>
      </c>
      <c r="E1053" s="187" t="s">
        <v>340</v>
      </c>
      <c r="F1053" s="188">
        <v>41610</v>
      </c>
      <c r="G1053" s="188" t="s">
        <v>67</v>
      </c>
      <c r="H1053" s="189" t="s">
        <v>26</v>
      </c>
      <c r="I1053" s="189">
        <v>444474.97</v>
      </c>
      <c r="J1053" s="190">
        <v>1</v>
      </c>
      <c r="K1053" s="191">
        <f>MONTH(Tabela1[[#This Row],[Data da Venda]])</f>
        <v>12</v>
      </c>
      <c r="L1053" s="191">
        <f>YEAR(Tabela1[[#This Row],[Data da Venda]])</f>
        <v>2013</v>
      </c>
    </row>
    <row r="1054" spans="1:12" ht="15" hidden="1" customHeight="1">
      <c r="A1054" s="185" t="s">
        <v>489</v>
      </c>
      <c r="B1054" s="186" t="s">
        <v>490</v>
      </c>
      <c r="C1054" s="187">
        <v>315</v>
      </c>
      <c r="D1054" s="187" t="s">
        <v>328</v>
      </c>
      <c r="E1054" s="187" t="s">
        <v>340</v>
      </c>
      <c r="F1054" s="188">
        <v>41610</v>
      </c>
      <c r="G1054" s="188" t="s">
        <v>173</v>
      </c>
      <c r="H1054" s="189" t="s">
        <v>25</v>
      </c>
      <c r="I1054" s="189">
        <v>358932.93</v>
      </c>
      <c r="J1054" s="190">
        <v>1</v>
      </c>
      <c r="K1054" s="191">
        <f>MONTH(Tabela1[[#This Row],[Data da Venda]])</f>
        <v>12</v>
      </c>
      <c r="L1054" s="191">
        <f>YEAR(Tabela1[[#This Row],[Data da Venda]])</f>
        <v>2013</v>
      </c>
    </row>
    <row r="1055" spans="1:12" ht="15" hidden="1" customHeight="1">
      <c r="A1055" s="185" t="s">
        <v>489</v>
      </c>
      <c r="B1055" s="186" t="s">
        <v>490</v>
      </c>
      <c r="C1055" s="187">
        <v>716</v>
      </c>
      <c r="D1055" s="187" t="s">
        <v>329</v>
      </c>
      <c r="E1055" s="187" t="s">
        <v>340</v>
      </c>
      <c r="F1055" s="188">
        <v>41610</v>
      </c>
      <c r="G1055" s="156" t="s">
        <v>465</v>
      </c>
      <c r="H1055" s="189" t="s">
        <v>33</v>
      </c>
      <c r="I1055" s="189">
        <v>362996.8</v>
      </c>
      <c r="J1055" s="190">
        <v>1</v>
      </c>
      <c r="K1055" s="191">
        <f>MONTH(Tabela1[[#This Row],[Data da Venda]])</f>
        <v>12</v>
      </c>
      <c r="L1055" s="191">
        <f>YEAR(Tabela1[[#This Row],[Data da Venda]])</f>
        <v>2013</v>
      </c>
    </row>
    <row r="1056" spans="1:12" ht="15" hidden="1" customHeight="1">
      <c r="A1056" s="185" t="s">
        <v>489</v>
      </c>
      <c r="B1056" s="186" t="s">
        <v>490</v>
      </c>
      <c r="C1056" s="187">
        <v>1509</v>
      </c>
      <c r="D1056" s="187" t="s">
        <v>328</v>
      </c>
      <c r="E1056" s="187" t="s">
        <v>340</v>
      </c>
      <c r="F1056" s="188">
        <v>41610</v>
      </c>
      <c r="G1056" s="188" t="s">
        <v>504</v>
      </c>
      <c r="H1056" s="189" t="s">
        <v>23</v>
      </c>
      <c r="I1056" s="189">
        <v>291236.49</v>
      </c>
      <c r="J1056" s="190">
        <v>1</v>
      </c>
      <c r="K1056" s="191">
        <f>MONTH(Tabela1[[#This Row],[Data da Venda]])</f>
        <v>12</v>
      </c>
      <c r="L1056" s="191">
        <f>YEAR(Tabela1[[#This Row],[Data da Venda]])</f>
        <v>2013</v>
      </c>
    </row>
    <row r="1057" spans="1:12" ht="15" hidden="1" customHeight="1">
      <c r="A1057" s="185" t="s">
        <v>489</v>
      </c>
      <c r="B1057" s="186" t="s">
        <v>490</v>
      </c>
      <c r="C1057" s="187">
        <v>416</v>
      </c>
      <c r="D1057" s="187" t="s">
        <v>328</v>
      </c>
      <c r="E1057" s="187" t="s">
        <v>340</v>
      </c>
      <c r="F1057" s="188">
        <v>41610</v>
      </c>
      <c r="G1057" s="188" t="s">
        <v>173</v>
      </c>
      <c r="H1057" s="189" t="s">
        <v>25</v>
      </c>
      <c r="I1057" s="189">
        <v>338226.4</v>
      </c>
      <c r="J1057" s="190">
        <v>1</v>
      </c>
      <c r="K1057" s="191">
        <f>MONTH(Tabela1[[#This Row],[Data da Venda]])</f>
        <v>12</v>
      </c>
      <c r="L1057" s="191">
        <f>YEAR(Tabela1[[#This Row],[Data da Venda]])</f>
        <v>2013</v>
      </c>
    </row>
    <row r="1058" spans="1:12" ht="15" hidden="1" customHeight="1">
      <c r="A1058" s="185" t="s">
        <v>489</v>
      </c>
      <c r="B1058" s="186" t="s">
        <v>490</v>
      </c>
      <c r="C1058" s="187">
        <v>1413</v>
      </c>
      <c r="D1058" s="187" t="s">
        <v>328</v>
      </c>
      <c r="E1058" s="187" t="s">
        <v>340</v>
      </c>
      <c r="F1058" s="188">
        <v>41610</v>
      </c>
      <c r="G1058" s="188" t="s">
        <v>49</v>
      </c>
      <c r="H1058" s="189" t="s">
        <v>23</v>
      </c>
      <c r="I1058" s="189">
        <v>236000</v>
      </c>
      <c r="J1058" s="190">
        <v>1</v>
      </c>
      <c r="K1058" s="191">
        <f>MONTH(Tabela1[[#This Row],[Data da Venda]])</f>
        <v>12</v>
      </c>
      <c r="L1058" s="191">
        <f>YEAR(Tabela1[[#This Row],[Data da Venda]])</f>
        <v>2013</v>
      </c>
    </row>
    <row r="1059" spans="1:12" ht="15" hidden="1" customHeight="1">
      <c r="A1059" s="185" t="s">
        <v>489</v>
      </c>
      <c r="B1059" s="186" t="s">
        <v>490</v>
      </c>
      <c r="C1059" s="187">
        <v>1418</v>
      </c>
      <c r="D1059" s="187" t="s">
        <v>329</v>
      </c>
      <c r="E1059" s="187" t="s">
        <v>340</v>
      </c>
      <c r="F1059" s="188">
        <v>41611</v>
      </c>
      <c r="G1059" s="156" t="s">
        <v>463</v>
      </c>
      <c r="H1059" s="189" t="s">
        <v>33</v>
      </c>
      <c r="I1059" s="189">
        <v>286224.65999999997</v>
      </c>
      <c r="J1059" s="190">
        <v>1</v>
      </c>
      <c r="K1059" s="191">
        <f>MONTH(Tabela1[[#This Row],[Data da Venda]])</f>
        <v>12</v>
      </c>
      <c r="L1059" s="191">
        <f>YEAR(Tabela1[[#This Row],[Data da Venda]])</f>
        <v>2013</v>
      </c>
    </row>
    <row r="1060" spans="1:12" ht="15" hidden="1" customHeight="1">
      <c r="A1060" s="185" t="s">
        <v>233</v>
      </c>
      <c r="B1060" s="150" t="s">
        <v>428</v>
      </c>
      <c r="C1060" s="187">
        <v>155</v>
      </c>
      <c r="D1060" s="187" t="s">
        <v>328</v>
      </c>
      <c r="E1060" s="187" t="s">
        <v>339</v>
      </c>
      <c r="F1060" s="188">
        <v>41611</v>
      </c>
      <c r="G1060" s="156" t="s">
        <v>262</v>
      </c>
      <c r="H1060" s="189" t="s">
        <v>24</v>
      </c>
      <c r="I1060" s="189">
        <v>349999.99</v>
      </c>
      <c r="J1060" s="190">
        <v>1</v>
      </c>
      <c r="K1060" s="191">
        <f>MONTH(Tabela1[[#This Row],[Data da Venda]])</f>
        <v>12</v>
      </c>
      <c r="L1060" s="191">
        <f>YEAR(Tabela1[[#This Row],[Data da Venda]])</f>
        <v>2013</v>
      </c>
    </row>
    <row r="1061" spans="1:12" ht="15" hidden="1" customHeight="1">
      <c r="A1061" s="185" t="s">
        <v>470</v>
      </c>
      <c r="B1061" s="186" t="s">
        <v>472</v>
      </c>
      <c r="C1061" s="187">
        <v>62</v>
      </c>
      <c r="D1061" s="187" t="s">
        <v>328</v>
      </c>
      <c r="E1061" s="187" t="s">
        <v>340</v>
      </c>
      <c r="F1061" s="188">
        <v>41612</v>
      </c>
      <c r="G1061" s="188" t="s">
        <v>55</v>
      </c>
      <c r="H1061" s="189" t="s">
        <v>24</v>
      </c>
      <c r="I1061" s="189">
        <f>644944.32/2</f>
        <v>322472.15999999997</v>
      </c>
      <c r="J1061" s="190">
        <v>0.5</v>
      </c>
      <c r="K1061" s="191">
        <f>MONTH(Tabela1[[#This Row],[Data da Venda]])</f>
        <v>12</v>
      </c>
      <c r="L1061" s="191">
        <f>YEAR(Tabela1[[#This Row],[Data da Venda]])</f>
        <v>2013</v>
      </c>
    </row>
    <row r="1062" spans="1:12" ht="15" hidden="1" customHeight="1">
      <c r="A1062" s="185" t="s">
        <v>470</v>
      </c>
      <c r="B1062" s="186" t="s">
        <v>472</v>
      </c>
      <c r="C1062" s="187">
        <v>62</v>
      </c>
      <c r="D1062" s="187" t="s">
        <v>328</v>
      </c>
      <c r="E1062" s="187" t="s">
        <v>340</v>
      </c>
      <c r="F1062" s="188">
        <v>41612</v>
      </c>
      <c r="G1062" s="188" t="s">
        <v>383</v>
      </c>
      <c r="H1062" s="189" t="s">
        <v>24</v>
      </c>
      <c r="I1062" s="189">
        <f>644944.32/2</f>
        <v>322472.15999999997</v>
      </c>
      <c r="J1062" s="190">
        <v>0.5</v>
      </c>
      <c r="K1062" s="191">
        <f>MONTH(Tabela1[[#This Row],[Data da Venda]])</f>
        <v>12</v>
      </c>
      <c r="L1062" s="191">
        <f>YEAR(Tabela1[[#This Row],[Data da Venda]])</f>
        <v>2013</v>
      </c>
    </row>
    <row r="1063" spans="1:12" ht="15" hidden="1" customHeight="1">
      <c r="A1063" s="149" t="s">
        <v>489</v>
      </c>
      <c r="B1063" s="150" t="s">
        <v>490</v>
      </c>
      <c r="C1063" s="187">
        <v>905</v>
      </c>
      <c r="D1063" s="187" t="s">
        <v>329</v>
      </c>
      <c r="E1063" s="187" t="s">
        <v>340</v>
      </c>
      <c r="F1063" s="188">
        <v>41612</v>
      </c>
      <c r="G1063" s="156" t="s">
        <v>465</v>
      </c>
      <c r="H1063" s="189" t="s">
        <v>33</v>
      </c>
      <c r="I1063" s="189">
        <v>368464.35</v>
      </c>
      <c r="J1063" s="190">
        <v>1</v>
      </c>
      <c r="K1063" s="191">
        <f>MONTH(Tabela1[[#This Row],[Data da Venda]])</f>
        <v>12</v>
      </c>
      <c r="L1063" s="191">
        <f>YEAR(Tabela1[[#This Row],[Data da Venda]])</f>
        <v>2013</v>
      </c>
    </row>
    <row r="1064" spans="1:12" ht="15" hidden="1" customHeight="1">
      <c r="A1064" s="149" t="s">
        <v>489</v>
      </c>
      <c r="B1064" s="150" t="s">
        <v>490</v>
      </c>
      <c r="C1064" s="187">
        <v>1406</v>
      </c>
      <c r="D1064" s="187" t="s">
        <v>328</v>
      </c>
      <c r="E1064" s="187" t="s">
        <v>340</v>
      </c>
      <c r="F1064" s="188">
        <v>41612</v>
      </c>
      <c r="G1064" s="188" t="s">
        <v>512</v>
      </c>
      <c r="H1064" s="189" t="s">
        <v>61</v>
      </c>
      <c r="I1064" s="189">
        <v>360240</v>
      </c>
      <c r="J1064" s="190">
        <v>1</v>
      </c>
      <c r="K1064" s="191">
        <f>MONTH(Tabela1[[#This Row],[Data da Venda]])</f>
        <v>12</v>
      </c>
      <c r="L1064" s="191">
        <f>YEAR(Tabela1[[#This Row],[Data da Venda]])</f>
        <v>2013</v>
      </c>
    </row>
    <row r="1065" spans="1:12" ht="15" hidden="1" customHeight="1">
      <c r="A1065" s="185" t="s">
        <v>53</v>
      </c>
      <c r="B1065" s="186" t="s">
        <v>414</v>
      </c>
      <c r="C1065" s="187">
        <v>68</v>
      </c>
      <c r="D1065" s="187" t="s">
        <v>328</v>
      </c>
      <c r="E1065" s="187" t="s">
        <v>339</v>
      </c>
      <c r="F1065" s="188">
        <v>41613</v>
      </c>
      <c r="G1065" s="188" t="s">
        <v>43</v>
      </c>
      <c r="H1065" s="189" t="s">
        <v>61</v>
      </c>
      <c r="I1065" s="189">
        <v>549500</v>
      </c>
      <c r="J1065" s="190">
        <v>1</v>
      </c>
      <c r="K1065" s="191">
        <f>MONTH(Tabela1[[#This Row],[Data da Venda]])</f>
        <v>12</v>
      </c>
      <c r="L1065" s="191">
        <f>YEAR(Tabela1[[#This Row],[Data da Venda]])</f>
        <v>2013</v>
      </c>
    </row>
    <row r="1066" spans="1:12" ht="15" hidden="1" customHeight="1">
      <c r="A1066" s="185" t="s">
        <v>489</v>
      </c>
      <c r="B1066" s="186" t="s">
        <v>490</v>
      </c>
      <c r="C1066" s="187">
        <v>407</v>
      </c>
      <c r="D1066" s="187" t="s">
        <v>329</v>
      </c>
      <c r="E1066" s="187" t="s">
        <v>340</v>
      </c>
      <c r="F1066" s="188">
        <v>41613</v>
      </c>
      <c r="G1066" s="156" t="s">
        <v>463</v>
      </c>
      <c r="H1066" s="189" t="s">
        <v>33</v>
      </c>
      <c r="I1066" s="189">
        <v>267670</v>
      </c>
      <c r="J1066" s="190">
        <v>1</v>
      </c>
      <c r="K1066" s="191">
        <f>MONTH(Tabela1[[#This Row],[Data da Venda]])</f>
        <v>12</v>
      </c>
      <c r="L1066" s="191">
        <f>YEAR(Tabela1[[#This Row],[Data da Venda]])</f>
        <v>2013</v>
      </c>
    </row>
    <row r="1067" spans="1:12" ht="15" hidden="1" customHeight="1">
      <c r="A1067" s="185" t="s">
        <v>489</v>
      </c>
      <c r="B1067" s="186" t="s">
        <v>490</v>
      </c>
      <c r="C1067" s="187">
        <v>1516</v>
      </c>
      <c r="D1067" s="187" t="s">
        <v>328</v>
      </c>
      <c r="E1067" s="187" t="s">
        <v>340</v>
      </c>
      <c r="F1067" s="188">
        <v>41613</v>
      </c>
      <c r="G1067" s="188" t="s">
        <v>84</v>
      </c>
      <c r="H1067" s="189" t="s">
        <v>61</v>
      </c>
      <c r="I1067" s="189">
        <f>380898.57/2</f>
        <v>190449.285</v>
      </c>
      <c r="J1067" s="190">
        <v>0.5</v>
      </c>
      <c r="K1067" s="191">
        <f>MONTH(Tabela1[[#This Row],[Data da Venda]])</f>
        <v>12</v>
      </c>
      <c r="L1067" s="191">
        <f>YEAR(Tabela1[[#This Row],[Data da Venda]])</f>
        <v>2013</v>
      </c>
    </row>
    <row r="1068" spans="1:12" ht="15" hidden="1" customHeight="1">
      <c r="A1068" s="185" t="s">
        <v>489</v>
      </c>
      <c r="B1068" s="186" t="s">
        <v>490</v>
      </c>
      <c r="C1068" s="187">
        <v>1516</v>
      </c>
      <c r="D1068" s="187" t="s">
        <v>328</v>
      </c>
      <c r="E1068" s="187" t="s">
        <v>340</v>
      </c>
      <c r="F1068" s="188">
        <v>41613</v>
      </c>
      <c r="G1068" s="188" t="s">
        <v>494</v>
      </c>
      <c r="H1068" s="189" t="s">
        <v>61</v>
      </c>
      <c r="I1068" s="189">
        <f>380898.57/2</f>
        <v>190449.285</v>
      </c>
      <c r="J1068" s="190">
        <v>0.5</v>
      </c>
      <c r="K1068" s="191">
        <f>MONTH(Tabela1[[#This Row],[Data da Venda]])</f>
        <v>12</v>
      </c>
      <c r="L1068" s="191">
        <f>YEAR(Tabela1[[#This Row],[Data da Venda]])</f>
        <v>2013</v>
      </c>
    </row>
    <row r="1069" spans="1:12" ht="15" hidden="1" customHeight="1">
      <c r="A1069" s="185" t="s">
        <v>425</v>
      </c>
      <c r="B1069" s="186" t="s">
        <v>394</v>
      </c>
      <c r="C1069" s="187">
        <v>82</v>
      </c>
      <c r="D1069" s="187" t="s">
        <v>328</v>
      </c>
      <c r="E1069" s="187" t="s">
        <v>340</v>
      </c>
      <c r="F1069" s="188">
        <v>41614</v>
      </c>
      <c r="G1069" s="188" t="s">
        <v>198</v>
      </c>
      <c r="H1069" s="189" t="s">
        <v>23</v>
      </c>
      <c r="I1069" s="189">
        <f>525951.9/2</f>
        <v>262975.95</v>
      </c>
      <c r="J1069" s="190">
        <v>0.5</v>
      </c>
      <c r="K1069" s="191">
        <f>MONTH(Tabela1[[#This Row],[Data da Venda]])</f>
        <v>12</v>
      </c>
      <c r="L1069" s="191">
        <f>YEAR(Tabela1[[#This Row],[Data da Venda]])</f>
        <v>2013</v>
      </c>
    </row>
    <row r="1070" spans="1:12" ht="15" hidden="1" customHeight="1">
      <c r="A1070" s="185" t="s">
        <v>425</v>
      </c>
      <c r="B1070" s="186" t="s">
        <v>394</v>
      </c>
      <c r="C1070" s="187">
        <v>82</v>
      </c>
      <c r="D1070" s="187" t="s">
        <v>328</v>
      </c>
      <c r="E1070" s="187" t="s">
        <v>340</v>
      </c>
      <c r="F1070" s="188">
        <v>41614</v>
      </c>
      <c r="G1070" s="188" t="s">
        <v>513</v>
      </c>
      <c r="H1070" s="189" t="s">
        <v>23</v>
      </c>
      <c r="I1070" s="189">
        <f>525951.9/2</f>
        <v>262975.95</v>
      </c>
      <c r="J1070" s="190">
        <v>0.5</v>
      </c>
      <c r="K1070" s="191">
        <f>MONTH(Tabela1[[#This Row],[Data da Venda]])</f>
        <v>12</v>
      </c>
      <c r="L1070" s="191">
        <f>YEAR(Tabela1[[#This Row],[Data da Venda]])</f>
        <v>2013</v>
      </c>
    </row>
    <row r="1071" spans="1:12" ht="15" hidden="1" customHeight="1">
      <c r="A1071" s="185" t="s">
        <v>489</v>
      </c>
      <c r="B1071" s="186" t="s">
        <v>490</v>
      </c>
      <c r="C1071" s="187">
        <v>1416</v>
      </c>
      <c r="D1071" s="187" t="s">
        <v>328</v>
      </c>
      <c r="E1071" s="187" t="s">
        <v>340</v>
      </c>
      <c r="F1071" s="188">
        <v>41614</v>
      </c>
      <c r="G1071" s="188" t="s">
        <v>307</v>
      </c>
      <c r="H1071" s="189" t="s">
        <v>24</v>
      </c>
      <c r="I1071" s="189">
        <v>370000</v>
      </c>
      <c r="J1071" s="190">
        <v>1</v>
      </c>
      <c r="K1071" s="191">
        <f>MONTH(Tabela1[[#This Row],[Data da Venda]])</f>
        <v>12</v>
      </c>
      <c r="L1071" s="191">
        <f>YEAR(Tabela1[[#This Row],[Data da Venda]])</f>
        <v>2013</v>
      </c>
    </row>
    <row r="1072" spans="1:12" ht="15" hidden="1" customHeight="1">
      <c r="A1072" s="185" t="s">
        <v>489</v>
      </c>
      <c r="B1072" s="186" t="s">
        <v>490</v>
      </c>
      <c r="C1072" s="187">
        <v>706</v>
      </c>
      <c r="D1072" s="187" t="s">
        <v>329</v>
      </c>
      <c r="E1072" s="187" t="s">
        <v>340</v>
      </c>
      <c r="F1072" s="188">
        <v>41614</v>
      </c>
      <c r="G1072" s="156" t="s">
        <v>465</v>
      </c>
      <c r="H1072" s="189" t="s">
        <v>33</v>
      </c>
      <c r="I1072" s="189">
        <v>383390.53</v>
      </c>
      <c r="J1072" s="190">
        <v>1</v>
      </c>
      <c r="K1072" s="191">
        <f>MONTH(Tabela1[[#This Row],[Data da Venda]])</f>
        <v>12</v>
      </c>
      <c r="L1072" s="191">
        <f>YEAR(Tabela1[[#This Row],[Data da Venda]])</f>
        <v>2013</v>
      </c>
    </row>
    <row r="1073" spans="1:12" ht="15" hidden="1" customHeight="1">
      <c r="A1073" s="185" t="s">
        <v>489</v>
      </c>
      <c r="B1073" s="186" t="s">
        <v>490</v>
      </c>
      <c r="C1073" s="187">
        <v>1718</v>
      </c>
      <c r="D1073" s="187" t="s">
        <v>328</v>
      </c>
      <c r="E1073" s="187" t="s">
        <v>340</v>
      </c>
      <c r="F1073" s="188">
        <v>41614</v>
      </c>
      <c r="G1073" s="188" t="s">
        <v>196</v>
      </c>
      <c r="H1073" s="189" t="s">
        <v>24</v>
      </c>
      <c r="I1073" s="189">
        <v>256400</v>
      </c>
      <c r="J1073" s="190">
        <v>1</v>
      </c>
      <c r="K1073" s="191">
        <f>MONTH(Tabela1[[#This Row],[Data da Venda]])</f>
        <v>12</v>
      </c>
      <c r="L1073" s="191">
        <f>YEAR(Tabela1[[#This Row],[Data da Venda]])</f>
        <v>2013</v>
      </c>
    </row>
    <row r="1074" spans="1:12" ht="15" hidden="1" customHeight="1">
      <c r="A1074" s="149" t="s">
        <v>208</v>
      </c>
      <c r="B1074" s="186" t="s">
        <v>388</v>
      </c>
      <c r="C1074" s="187">
        <v>101</v>
      </c>
      <c r="D1074" s="187" t="s">
        <v>328</v>
      </c>
      <c r="E1074" s="187" t="s">
        <v>339</v>
      </c>
      <c r="F1074" s="188">
        <v>41615</v>
      </c>
      <c r="G1074" s="188" t="s">
        <v>505</v>
      </c>
      <c r="H1074" s="189" t="s">
        <v>27</v>
      </c>
      <c r="I1074" s="189">
        <v>344924</v>
      </c>
      <c r="J1074" s="190">
        <v>1</v>
      </c>
      <c r="K1074" s="191">
        <f>MONTH(Tabela1[[#This Row],[Data da Venda]])</f>
        <v>12</v>
      </c>
      <c r="L1074" s="191">
        <f>YEAR(Tabela1[[#This Row],[Data da Venda]])</f>
        <v>2013</v>
      </c>
    </row>
    <row r="1075" spans="1:12" ht="15" hidden="1" customHeight="1">
      <c r="A1075" s="185" t="s">
        <v>81</v>
      </c>
      <c r="B1075" s="186" t="s">
        <v>446</v>
      </c>
      <c r="C1075" s="187">
        <v>21</v>
      </c>
      <c r="D1075" s="187" t="s">
        <v>329</v>
      </c>
      <c r="E1075" s="187" t="s">
        <v>339</v>
      </c>
      <c r="F1075" s="188">
        <v>41615</v>
      </c>
      <c r="G1075" s="156" t="s">
        <v>465</v>
      </c>
      <c r="H1075" s="189" t="s">
        <v>33</v>
      </c>
      <c r="I1075" s="189">
        <v>459930</v>
      </c>
      <c r="J1075" s="190">
        <v>1</v>
      </c>
      <c r="K1075" s="191">
        <f>MONTH(Tabela1[[#This Row],[Data da Venda]])</f>
        <v>12</v>
      </c>
      <c r="L1075" s="191">
        <f>YEAR(Tabela1[[#This Row],[Data da Venda]])</f>
        <v>2013</v>
      </c>
    </row>
    <row r="1076" spans="1:12" ht="15" hidden="1" customHeight="1">
      <c r="A1076" s="185" t="s">
        <v>489</v>
      </c>
      <c r="B1076" s="186" t="s">
        <v>490</v>
      </c>
      <c r="C1076" s="187">
        <v>106</v>
      </c>
      <c r="D1076" s="187" t="s">
        <v>328</v>
      </c>
      <c r="E1076" s="187" t="s">
        <v>340</v>
      </c>
      <c r="F1076" s="188">
        <v>41615</v>
      </c>
      <c r="G1076" s="188" t="s">
        <v>18</v>
      </c>
      <c r="H1076" s="189" t="s">
        <v>25</v>
      </c>
      <c r="I1076" s="189">
        <v>298089</v>
      </c>
      <c r="J1076" s="190">
        <v>1</v>
      </c>
      <c r="K1076" s="191">
        <f>MONTH(Tabela1[[#This Row],[Data da Venda]])</f>
        <v>12</v>
      </c>
      <c r="L1076" s="191">
        <f>YEAR(Tabela1[[#This Row],[Data da Venda]])</f>
        <v>2013</v>
      </c>
    </row>
    <row r="1077" spans="1:12" ht="15" hidden="1" customHeight="1">
      <c r="A1077" s="185" t="s">
        <v>489</v>
      </c>
      <c r="B1077" s="186" t="s">
        <v>490</v>
      </c>
      <c r="C1077" s="187">
        <v>216</v>
      </c>
      <c r="D1077" s="155" t="s">
        <v>328</v>
      </c>
      <c r="E1077" s="187" t="s">
        <v>340</v>
      </c>
      <c r="F1077" s="188">
        <v>41615</v>
      </c>
      <c r="G1077" s="188" t="s">
        <v>62</v>
      </c>
      <c r="H1077" s="189" t="s">
        <v>25</v>
      </c>
      <c r="I1077" s="189">
        <v>329000</v>
      </c>
      <c r="J1077" s="190">
        <v>1</v>
      </c>
      <c r="K1077" s="191">
        <f>MONTH(Tabela1[[#This Row],[Data da Venda]])</f>
        <v>12</v>
      </c>
      <c r="L1077" s="191">
        <f>YEAR(Tabela1[[#This Row],[Data da Venda]])</f>
        <v>2013</v>
      </c>
    </row>
    <row r="1078" spans="1:12" ht="15" hidden="1" customHeight="1">
      <c r="A1078" s="149" t="s">
        <v>191</v>
      </c>
      <c r="B1078" s="186" t="s">
        <v>435</v>
      </c>
      <c r="C1078" s="187">
        <v>26</v>
      </c>
      <c r="D1078" s="187" t="s">
        <v>328</v>
      </c>
      <c r="E1078" s="187" t="s">
        <v>339</v>
      </c>
      <c r="F1078" s="188">
        <v>41617</v>
      </c>
      <c r="G1078" s="188" t="s">
        <v>296</v>
      </c>
      <c r="H1078" s="189" t="s">
        <v>23</v>
      </c>
      <c r="I1078" s="189">
        <v>237500</v>
      </c>
      <c r="J1078" s="190">
        <v>1</v>
      </c>
      <c r="K1078" s="191">
        <f>MONTH(Tabela1[[#This Row],[Data da Venda]])</f>
        <v>12</v>
      </c>
      <c r="L1078" s="191">
        <f>YEAR(Tabela1[[#This Row],[Data da Venda]])</f>
        <v>2013</v>
      </c>
    </row>
    <row r="1079" spans="1:12" ht="15" hidden="1" customHeight="1">
      <c r="A1079" s="185" t="s">
        <v>489</v>
      </c>
      <c r="B1079" s="186" t="s">
        <v>490</v>
      </c>
      <c r="C1079" s="187">
        <v>1415</v>
      </c>
      <c r="D1079" s="187" t="s">
        <v>328</v>
      </c>
      <c r="E1079" s="187" t="s">
        <v>340</v>
      </c>
      <c r="F1079" s="188">
        <v>41617</v>
      </c>
      <c r="G1079" s="188" t="s">
        <v>307</v>
      </c>
      <c r="H1079" s="189" t="s">
        <v>24</v>
      </c>
      <c r="I1079" s="189">
        <v>393082.61</v>
      </c>
      <c r="J1079" s="190">
        <v>1</v>
      </c>
      <c r="K1079" s="191">
        <f>MONTH(Tabela1[[#This Row],[Data da Venda]])</f>
        <v>12</v>
      </c>
      <c r="L1079" s="191">
        <f>YEAR(Tabela1[[#This Row],[Data da Venda]])</f>
        <v>2013</v>
      </c>
    </row>
    <row r="1080" spans="1:12" ht="15" hidden="1" customHeight="1">
      <c r="A1080" s="185" t="s">
        <v>489</v>
      </c>
      <c r="B1080" s="186" t="s">
        <v>490</v>
      </c>
      <c r="C1080" s="187">
        <v>1708</v>
      </c>
      <c r="D1080" s="187" t="s">
        <v>329</v>
      </c>
      <c r="E1080" s="187" t="s">
        <v>340</v>
      </c>
      <c r="F1080" s="188">
        <v>41617</v>
      </c>
      <c r="G1080" s="156" t="s">
        <v>337</v>
      </c>
      <c r="H1080" s="189" t="s">
        <v>33</v>
      </c>
      <c r="I1080" s="189">
        <v>290990</v>
      </c>
      <c r="J1080" s="190">
        <v>1</v>
      </c>
      <c r="K1080" s="191">
        <f>MONTH(Tabela1[[#This Row],[Data da Venda]])</f>
        <v>12</v>
      </c>
      <c r="L1080" s="191">
        <f>YEAR(Tabela1[[#This Row],[Data da Venda]])</f>
        <v>2013</v>
      </c>
    </row>
    <row r="1081" spans="1:12" ht="15" hidden="1" customHeight="1">
      <c r="A1081" s="185" t="s">
        <v>489</v>
      </c>
      <c r="B1081" s="186" t="s">
        <v>490</v>
      </c>
      <c r="C1081" s="187">
        <v>711</v>
      </c>
      <c r="D1081" s="187" t="s">
        <v>328</v>
      </c>
      <c r="E1081" s="187" t="s">
        <v>340</v>
      </c>
      <c r="F1081" s="188">
        <v>41618</v>
      </c>
      <c r="G1081" s="188" t="s">
        <v>461</v>
      </c>
      <c r="H1081" s="189" t="s">
        <v>25</v>
      </c>
      <c r="I1081" s="189">
        <v>396498</v>
      </c>
      <c r="J1081" s="190">
        <v>1</v>
      </c>
      <c r="K1081" s="191">
        <f>MONTH(Tabela1[[#This Row],[Data da Venda]])</f>
        <v>12</v>
      </c>
      <c r="L1081" s="191">
        <f>YEAR(Tabela1[[#This Row],[Data da Venda]])</f>
        <v>2013</v>
      </c>
    </row>
    <row r="1082" spans="1:12" ht="15" hidden="1" customHeight="1">
      <c r="A1082" s="192" t="s">
        <v>425</v>
      </c>
      <c r="B1082" s="193" t="s">
        <v>486</v>
      </c>
      <c r="C1082" s="194">
        <v>58</v>
      </c>
      <c r="D1082" s="194" t="s">
        <v>328</v>
      </c>
      <c r="E1082" s="194" t="s">
        <v>340</v>
      </c>
      <c r="F1082" s="234">
        <v>41619</v>
      </c>
      <c r="G1082" s="234" t="s">
        <v>291</v>
      </c>
      <c r="H1082" s="195" t="s">
        <v>61</v>
      </c>
      <c r="I1082" s="195">
        <v>417500</v>
      </c>
      <c r="J1082" s="196">
        <v>1</v>
      </c>
      <c r="K1082" s="197">
        <f>MONTH(Tabela1[[#This Row],[Data da Venda]])</f>
        <v>12</v>
      </c>
      <c r="L1082" s="197">
        <f>YEAR(Tabela1[[#This Row],[Data da Venda]])</f>
        <v>2013</v>
      </c>
    </row>
    <row r="1083" spans="1:12" ht="15" hidden="1" customHeight="1">
      <c r="A1083" s="192" t="s">
        <v>425</v>
      </c>
      <c r="B1083" s="193" t="s">
        <v>393</v>
      </c>
      <c r="C1083" s="194">
        <v>2</v>
      </c>
      <c r="D1083" s="194" t="s">
        <v>328</v>
      </c>
      <c r="E1083" s="194" t="s">
        <v>340</v>
      </c>
      <c r="F1083" s="234">
        <v>41620</v>
      </c>
      <c r="G1083" s="234" t="s">
        <v>513</v>
      </c>
      <c r="H1083" s="195" t="s">
        <v>23</v>
      </c>
      <c r="I1083" s="195">
        <f>456398/2</f>
        <v>228199</v>
      </c>
      <c r="J1083" s="196">
        <v>0.5</v>
      </c>
      <c r="K1083" s="197">
        <f>MONTH(Tabela1[[#This Row],[Data da Venda]])</f>
        <v>12</v>
      </c>
      <c r="L1083" s="197">
        <f>YEAR(Tabela1[[#This Row],[Data da Venda]])</f>
        <v>2013</v>
      </c>
    </row>
    <row r="1084" spans="1:12" ht="15" hidden="1" customHeight="1">
      <c r="A1084" s="192" t="s">
        <v>425</v>
      </c>
      <c r="B1084" s="193" t="s">
        <v>393</v>
      </c>
      <c r="C1084" s="194">
        <v>2</v>
      </c>
      <c r="D1084" s="194" t="s">
        <v>328</v>
      </c>
      <c r="E1084" s="194" t="s">
        <v>340</v>
      </c>
      <c r="F1084" s="234">
        <v>41620</v>
      </c>
      <c r="G1084" s="156" t="s">
        <v>198</v>
      </c>
      <c r="H1084" s="195" t="s">
        <v>23</v>
      </c>
      <c r="I1084" s="195">
        <f>456398/2</f>
        <v>228199</v>
      </c>
      <c r="J1084" s="196">
        <v>0.5</v>
      </c>
      <c r="K1084" s="197">
        <f>MONTH(Tabela1[[#This Row],[Data da Venda]])</f>
        <v>12</v>
      </c>
      <c r="L1084" s="197">
        <f>YEAR(Tabela1[[#This Row],[Data da Venda]])</f>
        <v>2013</v>
      </c>
    </row>
    <row r="1085" spans="1:12" ht="15" hidden="1" customHeight="1">
      <c r="A1085" s="192" t="s">
        <v>425</v>
      </c>
      <c r="B1085" s="150" t="s">
        <v>394</v>
      </c>
      <c r="C1085" s="194">
        <v>84</v>
      </c>
      <c r="D1085" s="194" t="s">
        <v>329</v>
      </c>
      <c r="E1085" s="194" t="s">
        <v>340</v>
      </c>
      <c r="F1085" s="234">
        <v>41620</v>
      </c>
      <c r="G1085" s="156" t="s">
        <v>465</v>
      </c>
      <c r="H1085" s="195" t="s">
        <v>33</v>
      </c>
      <c r="I1085" s="195">
        <v>355000</v>
      </c>
      <c r="J1085" s="196">
        <v>1</v>
      </c>
      <c r="K1085" s="197">
        <f>MONTH(Tabela1[[#This Row],[Data da Venda]])</f>
        <v>12</v>
      </c>
      <c r="L1085" s="197">
        <f>YEAR(Tabela1[[#This Row],[Data da Venda]])</f>
        <v>2013</v>
      </c>
    </row>
    <row r="1086" spans="1:12" ht="15" hidden="1" customHeight="1">
      <c r="A1086" s="149" t="s">
        <v>191</v>
      </c>
      <c r="B1086" s="150" t="s">
        <v>392</v>
      </c>
      <c r="C1086" s="194">
        <v>42</v>
      </c>
      <c r="D1086" s="194" t="s">
        <v>328</v>
      </c>
      <c r="E1086" s="194" t="s">
        <v>339</v>
      </c>
      <c r="F1086" s="234">
        <v>41621</v>
      </c>
      <c r="G1086" s="234" t="s">
        <v>197</v>
      </c>
      <c r="H1086" s="195" t="s">
        <v>23</v>
      </c>
      <c r="I1086" s="195">
        <v>240000</v>
      </c>
      <c r="J1086" s="196">
        <v>1</v>
      </c>
      <c r="K1086" s="197">
        <f>MONTH(Tabela1[[#This Row],[Data da Venda]])</f>
        <v>12</v>
      </c>
      <c r="L1086" s="197">
        <f>YEAR(Tabela1[[#This Row],[Data da Venda]])</f>
        <v>2013</v>
      </c>
    </row>
    <row r="1087" spans="1:12" ht="15" hidden="1" customHeight="1">
      <c r="A1087" s="192" t="s">
        <v>427</v>
      </c>
      <c r="B1087" s="193" t="s">
        <v>517</v>
      </c>
      <c r="C1087" s="194">
        <v>201</v>
      </c>
      <c r="D1087" s="194" t="s">
        <v>329</v>
      </c>
      <c r="E1087" s="194" t="s">
        <v>339</v>
      </c>
      <c r="F1087" s="234">
        <v>41621</v>
      </c>
      <c r="G1087" s="156" t="s">
        <v>463</v>
      </c>
      <c r="H1087" s="195" t="s">
        <v>33</v>
      </c>
      <c r="I1087" s="195">
        <v>440000</v>
      </c>
      <c r="J1087" s="196">
        <v>1</v>
      </c>
      <c r="K1087" s="197">
        <f>MONTH(Tabela1[[#This Row],[Data da Venda]])</f>
        <v>12</v>
      </c>
      <c r="L1087" s="197">
        <f>YEAR(Tabela1[[#This Row],[Data da Venda]])</f>
        <v>2013</v>
      </c>
    </row>
    <row r="1088" spans="1:12" ht="15" hidden="1" customHeight="1">
      <c r="A1088" s="192" t="s">
        <v>427</v>
      </c>
      <c r="B1088" s="193" t="s">
        <v>517</v>
      </c>
      <c r="C1088" s="194">
        <v>613</v>
      </c>
      <c r="D1088" s="194" t="s">
        <v>328</v>
      </c>
      <c r="E1088" s="194" t="s">
        <v>339</v>
      </c>
      <c r="F1088" s="234">
        <v>41621</v>
      </c>
      <c r="G1088" s="234" t="s">
        <v>39</v>
      </c>
      <c r="H1088" s="195" t="s">
        <v>27</v>
      </c>
      <c r="I1088" s="195">
        <v>420207</v>
      </c>
      <c r="J1088" s="196">
        <v>1</v>
      </c>
      <c r="K1088" s="197">
        <f>MONTH(Tabela1[[#This Row],[Data da Venda]])</f>
        <v>12</v>
      </c>
      <c r="L1088" s="197">
        <f>YEAR(Tabela1[[#This Row],[Data da Venda]])</f>
        <v>2013</v>
      </c>
    </row>
    <row r="1089" spans="1:12" ht="15" hidden="1" customHeight="1">
      <c r="A1089" s="149" t="s">
        <v>489</v>
      </c>
      <c r="B1089" s="150" t="s">
        <v>490</v>
      </c>
      <c r="C1089" s="194">
        <v>206</v>
      </c>
      <c r="D1089" s="194" t="s">
        <v>329</v>
      </c>
      <c r="E1089" s="155" t="s">
        <v>340</v>
      </c>
      <c r="F1089" s="234">
        <v>41623</v>
      </c>
      <c r="G1089" s="156" t="s">
        <v>465</v>
      </c>
      <c r="H1089" s="157" t="s">
        <v>33</v>
      </c>
      <c r="I1089" s="195">
        <v>376555.56</v>
      </c>
      <c r="J1089" s="196">
        <v>1</v>
      </c>
      <c r="K1089" s="197">
        <f>MONTH(Tabela1[[#This Row],[Data da Venda]])</f>
        <v>12</v>
      </c>
      <c r="L1089" s="197">
        <f>YEAR(Tabela1[[#This Row],[Data da Venda]])</f>
        <v>2013</v>
      </c>
    </row>
    <row r="1090" spans="1:12" ht="15" hidden="1" customHeight="1">
      <c r="A1090" s="185" t="s">
        <v>489</v>
      </c>
      <c r="B1090" s="186" t="s">
        <v>490</v>
      </c>
      <c r="C1090" s="194">
        <v>1506</v>
      </c>
      <c r="D1090" s="194" t="s">
        <v>328</v>
      </c>
      <c r="E1090" s="194" t="s">
        <v>340</v>
      </c>
      <c r="F1090" s="234">
        <v>41624</v>
      </c>
      <c r="G1090" s="234" t="s">
        <v>516</v>
      </c>
      <c r="H1090" s="195" t="s">
        <v>460</v>
      </c>
      <c r="I1090" s="195">
        <v>387956</v>
      </c>
      <c r="J1090" s="196">
        <v>1</v>
      </c>
      <c r="K1090" s="197">
        <f>MONTH(Tabela1[[#This Row],[Data da Venda]])</f>
        <v>12</v>
      </c>
      <c r="L1090" s="197">
        <f>YEAR(Tabela1[[#This Row],[Data da Venda]])</f>
        <v>2013</v>
      </c>
    </row>
    <row r="1091" spans="1:12" ht="15" hidden="1" customHeight="1">
      <c r="A1091" s="192" t="s">
        <v>81</v>
      </c>
      <c r="B1091" s="193" t="s">
        <v>446</v>
      </c>
      <c r="C1091" s="194">
        <v>84</v>
      </c>
      <c r="D1091" s="194" t="s">
        <v>328</v>
      </c>
      <c r="E1091" s="194" t="s">
        <v>339</v>
      </c>
      <c r="F1091" s="234">
        <v>41625</v>
      </c>
      <c r="G1091" s="234" t="s">
        <v>469</v>
      </c>
      <c r="H1091" s="195" t="s">
        <v>26</v>
      </c>
      <c r="I1091" s="195">
        <v>490000</v>
      </c>
      <c r="J1091" s="196">
        <v>1</v>
      </c>
      <c r="K1091" s="197">
        <f>MONTH(Tabela1[[#This Row],[Data da Venda]])</f>
        <v>12</v>
      </c>
      <c r="L1091" s="197">
        <f>YEAR(Tabela1[[#This Row],[Data da Venda]])</f>
        <v>2013</v>
      </c>
    </row>
    <row r="1092" spans="1:12" ht="15" hidden="1" customHeight="1">
      <c r="A1092" s="192" t="s">
        <v>81</v>
      </c>
      <c r="B1092" s="193" t="s">
        <v>446</v>
      </c>
      <c r="C1092" s="194">
        <v>26</v>
      </c>
      <c r="D1092" s="194" t="s">
        <v>329</v>
      </c>
      <c r="E1092" s="194" t="s">
        <v>339</v>
      </c>
      <c r="F1092" s="234">
        <v>41627</v>
      </c>
      <c r="G1092" s="156" t="s">
        <v>465</v>
      </c>
      <c r="H1092" s="195" t="s">
        <v>33</v>
      </c>
      <c r="I1092" s="195">
        <v>466051.74</v>
      </c>
      <c r="J1092" s="196">
        <v>1</v>
      </c>
      <c r="K1092" s="197">
        <f>MONTH(Tabela1[[#This Row],[Data da Venda]])</f>
        <v>12</v>
      </c>
      <c r="L1092" s="197">
        <f>YEAR(Tabela1[[#This Row],[Data da Venda]])</f>
        <v>2013</v>
      </c>
    </row>
    <row r="1093" spans="1:12" ht="15" hidden="1" customHeight="1">
      <c r="A1093" s="192" t="s">
        <v>186</v>
      </c>
      <c r="B1093" s="193" t="s">
        <v>418</v>
      </c>
      <c r="C1093" s="194">
        <v>702</v>
      </c>
      <c r="D1093" s="194" t="s">
        <v>329</v>
      </c>
      <c r="E1093" s="194" t="s">
        <v>339</v>
      </c>
      <c r="F1093" s="234">
        <v>41627</v>
      </c>
      <c r="G1093" s="156" t="s">
        <v>465</v>
      </c>
      <c r="H1093" s="195" t="s">
        <v>33</v>
      </c>
      <c r="I1093" s="195">
        <v>445057.77</v>
      </c>
      <c r="J1093" s="196">
        <v>1</v>
      </c>
      <c r="K1093" s="197">
        <f>MONTH(Tabela1[[#This Row],[Data da Venda]])</f>
        <v>12</v>
      </c>
      <c r="L1093" s="197">
        <f>YEAR(Tabela1[[#This Row],[Data da Venda]])</f>
        <v>2013</v>
      </c>
    </row>
    <row r="1094" spans="1:12" ht="15" hidden="1" customHeight="1">
      <c r="A1094" s="192" t="s">
        <v>186</v>
      </c>
      <c r="B1094" s="193" t="s">
        <v>418</v>
      </c>
      <c r="C1094" s="194">
        <v>703</v>
      </c>
      <c r="D1094" s="194" t="s">
        <v>329</v>
      </c>
      <c r="E1094" s="194" t="s">
        <v>339</v>
      </c>
      <c r="F1094" s="234">
        <v>41627</v>
      </c>
      <c r="G1094" s="156" t="s">
        <v>465</v>
      </c>
      <c r="H1094" s="195" t="s">
        <v>33</v>
      </c>
      <c r="I1094" s="195">
        <v>445057.77</v>
      </c>
      <c r="J1094" s="196">
        <v>1</v>
      </c>
      <c r="K1094" s="197">
        <f>MONTH(Tabela1[[#This Row],[Data da Venda]])</f>
        <v>12</v>
      </c>
      <c r="L1094" s="197">
        <f>YEAR(Tabela1[[#This Row],[Data da Venda]])</f>
        <v>2013</v>
      </c>
    </row>
    <row r="1095" spans="1:12" ht="15" hidden="1" customHeight="1">
      <c r="A1095" s="192" t="s">
        <v>419</v>
      </c>
      <c r="B1095" s="193" t="s">
        <v>454</v>
      </c>
      <c r="C1095" s="194">
        <v>1404</v>
      </c>
      <c r="D1095" s="194" t="s">
        <v>327</v>
      </c>
      <c r="E1095" s="155" t="s">
        <v>327</v>
      </c>
      <c r="F1095" s="234">
        <v>41627</v>
      </c>
      <c r="G1095" s="156" t="s">
        <v>360</v>
      </c>
      <c r="H1095" s="195" t="s">
        <v>362</v>
      </c>
      <c r="I1095" s="195">
        <v>610000</v>
      </c>
      <c r="J1095" s="196">
        <v>1</v>
      </c>
      <c r="K1095" s="197">
        <f>MONTH(Tabela1[[#This Row],[Data da Venda]])</f>
        <v>12</v>
      </c>
      <c r="L1095" s="197">
        <f>YEAR(Tabela1[[#This Row],[Data da Venda]])</f>
        <v>2013</v>
      </c>
    </row>
    <row r="1096" spans="1:12" hidden="1">
      <c r="A1096" s="192" t="s">
        <v>420</v>
      </c>
      <c r="B1096" s="192" t="s">
        <v>420</v>
      </c>
      <c r="C1096" s="194">
        <v>607</v>
      </c>
      <c r="D1096" s="194" t="s">
        <v>329</v>
      </c>
      <c r="E1096" s="194" t="s">
        <v>339</v>
      </c>
      <c r="F1096" s="234">
        <v>41627</v>
      </c>
      <c r="G1096" s="156" t="s">
        <v>465</v>
      </c>
      <c r="H1096" s="195" t="s">
        <v>33</v>
      </c>
      <c r="I1096" s="195">
        <v>502877</v>
      </c>
      <c r="J1096" s="196">
        <v>1</v>
      </c>
      <c r="K1096" s="197">
        <f>MONTH(Tabela1[[#This Row],[Data da Venda]])</f>
        <v>12</v>
      </c>
      <c r="L1096" s="197">
        <f>YEAR(Tabela1[[#This Row],[Data da Venda]])</f>
        <v>2013</v>
      </c>
    </row>
    <row r="1097" spans="1:12" hidden="1">
      <c r="A1097" s="192" t="s">
        <v>425</v>
      </c>
      <c r="B1097" s="193" t="s">
        <v>409</v>
      </c>
      <c r="C1097" s="194">
        <v>75</v>
      </c>
      <c r="D1097" s="194" t="s">
        <v>328</v>
      </c>
      <c r="E1097" s="194" t="s">
        <v>340</v>
      </c>
      <c r="F1097" s="234">
        <v>41629</v>
      </c>
      <c r="G1097" s="234" t="s">
        <v>304</v>
      </c>
      <c r="H1097" s="195" t="s">
        <v>25</v>
      </c>
      <c r="I1097" s="195">
        <v>416740</v>
      </c>
      <c r="J1097" s="196">
        <v>1</v>
      </c>
      <c r="K1097" s="197">
        <f>MONTH(Tabela1[[#This Row],[Data da Venda]])</f>
        <v>12</v>
      </c>
      <c r="L1097" s="197">
        <f>YEAR(Tabela1[[#This Row],[Data da Venda]])</f>
        <v>2013</v>
      </c>
    </row>
    <row r="1098" spans="1:12">
      <c r="A1098" s="192" t="s">
        <v>425</v>
      </c>
      <c r="B1098" s="193" t="s">
        <v>409</v>
      </c>
      <c r="C1098" s="194">
        <v>71</v>
      </c>
      <c r="D1098" s="194" t="s">
        <v>328</v>
      </c>
      <c r="E1098" s="194" t="s">
        <v>340</v>
      </c>
      <c r="F1098" s="234">
        <v>41641</v>
      </c>
      <c r="G1098" s="234" t="s">
        <v>295</v>
      </c>
      <c r="H1098" s="195" t="s">
        <v>25</v>
      </c>
      <c r="I1098" s="195">
        <v>192000</v>
      </c>
      <c r="J1098" s="196">
        <v>0.5</v>
      </c>
      <c r="K1098" s="197">
        <f>MONTH(Tabela1[[#This Row],[Data da Venda]])</f>
        <v>1</v>
      </c>
      <c r="L1098" s="197">
        <f>YEAR(Tabela1[[#This Row],[Data da Venda]])</f>
        <v>2014</v>
      </c>
    </row>
    <row r="1099" spans="1:12">
      <c r="A1099" s="192" t="s">
        <v>425</v>
      </c>
      <c r="B1099" s="193" t="s">
        <v>409</v>
      </c>
      <c r="C1099" s="194">
        <v>71</v>
      </c>
      <c r="D1099" s="194" t="s">
        <v>328</v>
      </c>
      <c r="E1099" s="194" t="s">
        <v>340</v>
      </c>
      <c r="F1099" s="234">
        <v>41641</v>
      </c>
      <c r="G1099" s="234" t="s">
        <v>302</v>
      </c>
      <c r="H1099" s="195" t="s">
        <v>25</v>
      </c>
      <c r="I1099" s="195">
        <v>192000</v>
      </c>
      <c r="J1099" s="196">
        <v>0.5</v>
      </c>
      <c r="K1099" s="197">
        <f>MONTH(Tabela1[[#This Row],[Data da Venda]])</f>
        <v>1</v>
      </c>
      <c r="L1099" s="197">
        <f>YEAR(Tabela1[[#This Row],[Data da Venda]])</f>
        <v>2014</v>
      </c>
    </row>
    <row r="1100" spans="1:12">
      <c r="A1100" s="149" t="s">
        <v>191</v>
      </c>
      <c r="B1100" s="150" t="s">
        <v>401</v>
      </c>
      <c r="C1100" s="187">
        <v>114</v>
      </c>
      <c r="D1100" s="194" t="s">
        <v>329</v>
      </c>
      <c r="E1100" s="194" t="s">
        <v>339</v>
      </c>
      <c r="F1100" s="156">
        <v>41644</v>
      </c>
      <c r="G1100" s="156" t="s">
        <v>465</v>
      </c>
      <c r="H1100" s="157" t="s">
        <v>33</v>
      </c>
      <c r="I1100" s="189">
        <v>209630</v>
      </c>
      <c r="J1100" s="190">
        <v>1</v>
      </c>
      <c r="K1100" s="191">
        <v>1</v>
      </c>
      <c r="L1100" s="191">
        <v>2014</v>
      </c>
    </row>
    <row r="1101" spans="1:12">
      <c r="A1101" s="192" t="s">
        <v>489</v>
      </c>
      <c r="B1101" s="150" t="s">
        <v>490</v>
      </c>
      <c r="C1101" s="194">
        <v>1716</v>
      </c>
      <c r="D1101" s="194" t="s">
        <v>328</v>
      </c>
      <c r="E1101" s="194" t="s">
        <v>340</v>
      </c>
      <c r="F1101" s="156">
        <v>41644</v>
      </c>
      <c r="G1101" s="234" t="s">
        <v>309</v>
      </c>
      <c r="H1101" s="195" t="s">
        <v>26</v>
      </c>
      <c r="I1101" s="195">
        <v>378795</v>
      </c>
      <c r="J1101" s="196">
        <v>1</v>
      </c>
      <c r="K1101" s="197">
        <f>MONTH(Tabela1[[#This Row],[Data da Venda]])</f>
        <v>1</v>
      </c>
      <c r="L1101" s="197">
        <f>YEAR(Tabela1[[#This Row],[Data da Venda]])</f>
        <v>2014</v>
      </c>
    </row>
    <row r="1102" spans="1:12">
      <c r="A1102" s="192" t="s">
        <v>81</v>
      </c>
      <c r="B1102" s="193" t="s">
        <v>446</v>
      </c>
      <c r="C1102" s="194">
        <v>142</v>
      </c>
      <c r="D1102" s="194" t="s">
        <v>328</v>
      </c>
      <c r="E1102" s="194" t="s">
        <v>339</v>
      </c>
      <c r="F1102" s="234">
        <v>41645</v>
      </c>
      <c r="G1102" s="234" t="s">
        <v>309</v>
      </c>
      <c r="H1102" s="195" t="s">
        <v>26</v>
      </c>
      <c r="I1102" s="195">
        <v>865391.43</v>
      </c>
      <c r="J1102" s="196">
        <v>1</v>
      </c>
      <c r="K1102" s="197">
        <f>MONTH(Tabela1[[#This Row],[Data da Venda]])</f>
        <v>1</v>
      </c>
      <c r="L1102" s="197">
        <f>YEAR(Tabela1[[#This Row],[Data da Venda]])</f>
        <v>2014</v>
      </c>
    </row>
    <row r="1103" spans="1:12">
      <c r="A1103" s="192" t="s">
        <v>489</v>
      </c>
      <c r="B1103" s="186" t="s">
        <v>490</v>
      </c>
      <c r="C1103" s="194">
        <v>811</v>
      </c>
      <c r="D1103" s="194" t="s">
        <v>328</v>
      </c>
      <c r="E1103" s="194" t="s">
        <v>340</v>
      </c>
      <c r="F1103" s="234">
        <v>41646</v>
      </c>
      <c r="G1103" s="234" t="s">
        <v>235</v>
      </c>
      <c r="H1103" s="195" t="s">
        <v>27</v>
      </c>
      <c r="I1103" s="195">
        <v>424939.34</v>
      </c>
      <c r="J1103" s="196">
        <v>1</v>
      </c>
      <c r="K1103" s="197">
        <f>MONTH(Tabela1[[#This Row],[Data da Venda]])</f>
        <v>1</v>
      </c>
      <c r="L1103" s="197">
        <f>YEAR(Tabela1[[#This Row],[Data da Venda]])</f>
        <v>2014</v>
      </c>
    </row>
    <row r="1104" spans="1:12">
      <c r="A1104" s="192" t="s">
        <v>489</v>
      </c>
      <c r="B1104" s="193" t="s">
        <v>490</v>
      </c>
      <c r="C1104" s="194">
        <v>1606</v>
      </c>
      <c r="D1104" s="194" t="s">
        <v>328</v>
      </c>
      <c r="E1104" s="194" t="s">
        <v>340</v>
      </c>
      <c r="F1104" s="234">
        <v>41647</v>
      </c>
      <c r="G1104" s="234" t="s">
        <v>504</v>
      </c>
      <c r="H1104" s="195" t="s">
        <v>23</v>
      </c>
      <c r="I1104" s="195">
        <v>410449.86</v>
      </c>
      <c r="J1104" s="196">
        <v>1</v>
      </c>
      <c r="K1104" s="197">
        <f>MONTH(Tabela1[[#This Row],[Data da Venda]])</f>
        <v>1</v>
      </c>
      <c r="L1104" s="197">
        <f>YEAR(Tabela1[[#This Row],[Data da Venda]])</f>
        <v>2014</v>
      </c>
    </row>
    <row r="1105" spans="1:12">
      <c r="A1105" s="149" t="s">
        <v>208</v>
      </c>
      <c r="B1105" s="193" t="s">
        <v>399</v>
      </c>
      <c r="C1105" s="194">
        <v>104</v>
      </c>
      <c r="D1105" s="194" t="s">
        <v>328</v>
      </c>
      <c r="E1105" s="194" t="s">
        <v>339</v>
      </c>
      <c r="F1105" s="234">
        <v>41651</v>
      </c>
      <c r="G1105" s="156" t="s">
        <v>542</v>
      </c>
      <c r="H1105" s="195" t="s">
        <v>357</v>
      </c>
      <c r="I1105" s="195">
        <v>259745.4</v>
      </c>
      <c r="J1105" s="196">
        <v>1</v>
      </c>
      <c r="K1105" s="197">
        <f>MONTH(Tabela1[[#This Row],[Data da Venda]])</f>
        <v>1</v>
      </c>
      <c r="L1105" s="197">
        <f>YEAR(Tabela1[[#This Row],[Data da Venda]])</f>
        <v>2014</v>
      </c>
    </row>
    <row r="1106" spans="1:12">
      <c r="A1106" s="149" t="s">
        <v>191</v>
      </c>
      <c r="B1106" s="193" t="s">
        <v>435</v>
      </c>
      <c r="C1106" s="194">
        <v>117</v>
      </c>
      <c r="D1106" s="194" t="s">
        <v>328</v>
      </c>
      <c r="E1106" s="194" t="s">
        <v>339</v>
      </c>
      <c r="F1106" s="234">
        <v>41651</v>
      </c>
      <c r="G1106" s="234" t="s">
        <v>19</v>
      </c>
      <c r="H1106" s="195" t="s">
        <v>27</v>
      </c>
      <c r="I1106" s="195">
        <v>200000</v>
      </c>
      <c r="J1106" s="196">
        <v>1</v>
      </c>
      <c r="K1106" s="197">
        <f>MONTH(Tabela1[[#This Row],[Data da Venda]])</f>
        <v>1</v>
      </c>
      <c r="L1106" s="197">
        <f>YEAR(Tabela1[[#This Row],[Data da Venda]])</f>
        <v>2014</v>
      </c>
    </row>
    <row r="1107" spans="1:12">
      <c r="A1107" s="192" t="s">
        <v>81</v>
      </c>
      <c r="B1107" s="193" t="s">
        <v>446</v>
      </c>
      <c r="C1107" s="194">
        <v>41</v>
      </c>
      <c r="D1107" s="194" t="s">
        <v>328</v>
      </c>
      <c r="E1107" s="194" t="s">
        <v>339</v>
      </c>
      <c r="F1107" s="234">
        <v>41652</v>
      </c>
      <c r="G1107" s="234" t="s">
        <v>518</v>
      </c>
      <c r="H1107" s="195" t="s">
        <v>357</v>
      </c>
      <c r="I1107" s="195">
        <v>484115.36</v>
      </c>
      <c r="J1107" s="196">
        <v>1</v>
      </c>
      <c r="K1107" s="197">
        <f>MONTH(Tabela1[[#This Row],[Data da Venda]])</f>
        <v>1</v>
      </c>
      <c r="L1107" s="197">
        <f>YEAR(Tabela1[[#This Row],[Data da Venda]])</f>
        <v>2014</v>
      </c>
    </row>
    <row r="1108" spans="1:12">
      <c r="A1108" s="192" t="s">
        <v>470</v>
      </c>
      <c r="B1108" s="193" t="s">
        <v>472</v>
      </c>
      <c r="C1108" s="194">
        <v>73</v>
      </c>
      <c r="D1108" s="194" t="s">
        <v>328</v>
      </c>
      <c r="E1108" s="194" t="s">
        <v>340</v>
      </c>
      <c r="F1108" s="234">
        <v>41653</v>
      </c>
      <c r="G1108" s="234" t="s">
        <v>160</v>
      </c>
      <c r="H1108" s="195" t="s">
        <v>23</v>
      </c>
      <c r="I1108" s="195">
        <v>480266.53</v>
      </c>
      <c r="J1108" s="196">
        <v>1</v>
      </c>
      <c r="K1108" s="197">
        <f>MONTH(Tabela1[[#This Row],[Data da Venda]])</f>
        <v>1</v>
      </c>
      <c r="L1108" s="197">
        <f>YEAR(Tabela1[[#This Row],[Data da Venda]])</f>
        <v>2014</v>
      </c>
    </row>
    <row r="1109" spans="1:12">
      <c r="A1109" s="149" t="s">
        <v>208</v>
      </c>
      <c r="B1109" s="193" t="s">
        <v>399</v>
      </c>
      <c r="C1109" s="194">
        <v>167</v>
      </c>
      <c r="D1109" s="194" t="s">
        <v>328</v>
      </c>
      <c r="E1109" s="194" t="s">
        <v>339</v>
      </c>
      <c r="F1109" s="234">
        <v>41653</v>
      </c>
      <c r="G1109" s="234" t="s">
        <v>235</v>
      </c>
      <c r="H1109" s="195" t="s">
        <v>27</v>
      </c>
      <c r="I1109" s="195">
        <v>267106.21000000002</v>
      </c>
      <c r="J1109" s="196">
        <v>1</v>
      </c>
      <c r="K1109" s="197">
        <f>MONTH(Tabela1[[#This Row],[Data da Venda]])</f>
        <v>1</v>
      </c>
      <c r="L1109" s="197">
        <f>YEAR(Tabela1[[#This Row],[Data da Venda]])</f>
        <v>2014</v>
      </c>
    </row>
    <row r="1110" spans="1:12">
      <c r="A1110" s="192" t="s">
        <v>81</v>
      </c>
      <c r="B1110" s="193" t="s">
        <v>446</v>
      </c>
      <c r="C1110" s="194">
        <v>115</v>
      </c>
      <c r="D1110" s="194" t="s">
        <v>328</v>
      </c>
      <c r="E1110" s="194" t="s">
        <v>339</v>
      </c>
      <c r="F1110" s="234">
        <v>41654</v>
      </c>
      <c r="G1110" s="234" t="s">
        <v>532</v>
      </c>
      <c r="H1110" s="195" t="s">
        <v>460</v>
      </c>
      <c r="I1110" s="195">
        <v>455428.24</v>
      </c>
      <c r="J1110" s="196">
        <v>1</v>
      </c>
      <c r="K1110" s="197">
        <f>MONTH(Tabela1[[#This Row],[Data da Venda]])</f>
        <v>1</v>
      </c>
      <c r="L1110" s="197">
        <f>YEAR(Tabela1[[#This Row],[Data da Venda]])</f>
        <v>2014</v>
      </c>
    </row>
    <row r="1111" spans="1:12">
      <c r="A1111" s="149" t="s">
        <v>208</v>
      </c>
      <c r="B1111" s="193" t="s">
        <v>388</v>
      </c>
      <c r="C1111" s="194">
        <v>178</v>
      </c>
      <c r="D1111" s="194" t="s">
        <v>328</v>
      </c>
      <c r="E1111" s="194" t="s">
        <v>339</v>
      </c>
      <c r="F1111" s="234">
        <v>41654</v>
      </c>
      <c r="G1111" s="234" t="s">
        <v>539</v>
      </c>
      <c r="H1111" s="195" t="s">
        <v>61</v>
      </c>
      <c r="I1111" s="195">
        <v>275209</v>
      </c>
      <c r="J1111" s="196">
        <v>1</v>
      </c>
      <c r="K1111" s="197">
        <f>MONTH(Tabela1[[#This Row],[Data da Venda]])</f>
        <v>1</v>
      </c>
      <c r="L1111" s="197">
        <f>YEAR(Tabela1[[#This Row],[Data da Venda]])</f>
        <v>2014</v>
      </c>
    </row>
    <row r="1112" spans="1:12">
      <c r="A1112" s="192" t="s">
        <v>425</v>
      </c>
      <c r="B1112" s="193" t="s">
        <v>394</v>
      </c>
      <c r="C1112" s="194">
        <v>38</v>
      </c>
      <c r="D1112" s="194" t="s">
        <v>328</v>
      </c>
      <c r="E1112" s="194" t="s">
        <v>340</v>
      </c>
      <c r="F1112" s="234">
        <v>41655</v>
      </c>
      <c r="G1112" s="234" t="s">
        <v>291</v>
      </c>
      <c r="H1112" s="195" t="s">
        <v>61</v>
      </c>
      <c r="I1112" s="195">
        <v>300000</v>
      </c>
      <c r="J1112" s="196">
        <v>1</v>
      </c>
      <c r="K1112" s="197">
        <f>MONTH(Tabela1[[#This Row],[Data da Venda]])</f>
        <v>1</v>
      </c>
      <c r="L1112" s="197">
        <f>YEAR(Tabela1[[#This Row],[Data da Venda]])</f>
        <v>2014</v>
      </c>
    </row>
    <row r="1113" spans="1:12">
      <c r="A1113" s="192" t="s">
        <v>470</v>
      </c>
      <c r="B1113" s="193" t="s">
        <v>471</v>
      </c>
      <c r="C1113" s="194">
        <v>122</v>
      </c>
      <c r="D1113" s="194" t="s">
        <v>329</v>
      </c>
      <c r="E1113" s="194" t="s">
        <v>340</v>
      </c>
      <c r="F1113" s="234">
        <v>41655</v>
      </c>
      <c r="G1113" s="156" t="s">
        <v>465</v>
      </c>
      <c r="H1113" s="195" t="s">
        <v>33</v>
      </c>
      <c r="I1113" s="195">
        <v>320000</v>
      </c>
      <c r="J1113" s="196">
        <v>0.5</v>
      </c>
      <c r="K1113" s="197">
        <f>MONTH(Tabela1[[#This Row],[Data da Venda]])</f>
        <v>1</v>
      </c>
      <c r="L1113" s="197">
        <f>YEAR(Tabela1[[#This Row],[Data da Venda]])</f>
        <v>2014</v>
      </c>
    </row>
    <row r="1114" spans="1:12">
      <c r="A1114" s="192" t="s">
        <v>470</v>
      </c>
      <c r="B1114" s="193" t="s">
        <v>471</v>
      </c>
      <c r="C1114" s="194">
        <v>122</v>
      </c>
      <c r="D1114" s="194" t="s">
        <v>329</v>
      </c>
      <c r="E1114" s="194" t="s">
        <v>340</v>
      </c>
      <c r="F1114" s="234">
        <v>41655</v>
      </c>
      <c r="G1114" s="156" t="s">
        <v>464</v>
      </c>
      <c r="H1114" s="195" t="s">
        <v>33</v>
      </c>
      <c r="I1114" s="195">
        <v>320000</v>
      </c>
      <c r="J1114" s="196">
        <v>0.5</v>
      </c>
      <c r="K1114" s="197">
        <f>MONTH(Tabela1[[#This Row],[Data da Venda]])</f>
        <v>1</v>
      </c>
      <c r="L1114" s="197">
        <f>YEAR(Tabela1[[#This Row],[Data da Venda]])</f>
        <v>2014</v>
      </c>
    </row>
    <row r="1115" spans="1:12">
      <c r="A1115" s="192" t="s">
        <v>425</v>
      </c>
      <c r="B1115" s="193" t="s">
        <v>409</v>
      </c>
      <c r="C1115" s="194">
        <v>18</v>
      </c>
      <c r="D1115" s="194" t="s">
        <v>328</v>
      </c>
      <c r="E1115" s="194" t="s">
        <v>340</v>
      </c>
      <c r="F1115" s="234">
        <v>41658</v>
      </c>
      <c r="G1115" s="234" t="s">
        <v>461</v>
      </c>
      <c r="H1115" s="195" t="s">
        <v>25</v>
      </c>
      <c r="I1115" s="195">
        <f>391500/2</f>
        <v>195750</v>
      </c>
      <c r="J1115" s="196">
        <v>0.5</v>
      </c>
      <c r="K1115" s="197">
        <f>MONTH(Tabela1[[#This Row],[Data da Venda]])</f>
        <v>1</v>
      </c>
      <c r="L1115" s="197">
        <f>YEAR(Tabela1[[#This Row],[Data da Venda]])</f>
        <v>2014</v>
      </c>
    </row>
    <row r="1116" spans="1:12">
      <c r="A1116" s="192" t="s">
        <v>425</v>
      </c>
      <c r="B1116" s="193" t="s">
        <v>409</v>
      </c>
      <c r="C1116" s="194">
        <v>18</v>
      </c>
      <c r="D1116" s="194" t="s">
        <v>328</v>
      </c>
      <c r="E1116" s="194" t="s">
        <v>340</v>
      </c>
      <c r="F1116" s="234">
        <v>41658</v>
      </c>
      <c r="G1116" s="234" t="s">
        <v>304</v>
      </c>
      <c r="H1116" s="195" t="s">
        <v>25</v>
      </c>
      <c r="I1116" s="195">
        <f>391500/2</f>
        <v>195750</v>
      </c>
      <c r="J1116" s="196">
        <v>0.5</v>
      </c>
      <c r="K1116" s="197">
        <f>MONTH(Tabela1[[#This Row],[Data da Venda]])</f>
        <v>1</v>
      </c>
      <c r="L1116" s="197">
        <f>YEAR(Tabela1[[#This Row],[Data da Venda]])</f>
        <v>2014</v>
      </c>
    </row>
    <row r="1117" spans="1:12">
      <c r="A1117" s="149" t="s">
        <v>191</v>
      </c>
      <c r="B1117" s="150" t="s">
        <v>385</v>
      </c>
      <c r="C1117" s="194">
        <v>56</v>
      </c>
      <c r="D1117" s="194" t="s">
        <v>328</v>
      </c>
      <c r="E1117" s="194" t="s">
        <v>339</v>
      </c>
      <c r="F1117" s="234">
        <v>41658</v>
      </c>
      <c r="G1117" s="188" t="s">
        <v>237</v>
      </c>
      <c r="H1117" s="195" t="s">
        <v>27</v>
      </c>
      <c r="I1117" s="195">
        <v>122494.19</v>
      </c>
      <c r="J1117" s="196">
        <v>0.5</v>
      </c>
      <c r="K1117" s="197">
        <f>MONTH(Tabela1[[#This Row],[Data da Venda]])</f>
        <v>1</v>
      </c>
      <c r="L1117" s="197">
        <f>YEAR(Tabela1[[#This Row],[Data da Venda]])</f>
        <v>2014</v>
      </c>
    </row>
    <row r="1118" spans="1:12">
      <c r="A1118" s="149" t="s">
        <v>191</v>
      </c>
      <c r="B1118" s="150" t="s">
        <v>385</v>
      </c>
      <c r="C1118" s="194">
        <v>56</v>
      </c>
      <c r="D1118" s="194" t="s">
        <v>328</v>
      </c>
      <c r="E1118" s="194" t="s">
        <v>339</v>
      </c>
      <c r="F1118" s="234">
        <v>41658</v>
      </c>
      <c r="G1118" s="234" t="s">
        <v>19</v>
      </c>
      <c r="H1118" s="195" t="s">
        <v>27</v>
      </c>
      <c r="I1118" s="195">
        <v>122494.19</v>
      </c>
      <c r="J1118" s="196">
        <v>0.5</v>
      </c>
      <c r="K1118" s="197">
        <f>MONTH(Tabela1[[#This Row],[Data da Venda]])</f>
        <v>1</v>
      </c>
      <c r="L1118" s="197">
        <f>YEAR(Tabela1[[#This Row],[Data da Venda]])</f>
        <v>2014</v>
      </c>
    </row>
    <row r="1119" spans="1:12">
      <c r="A1119" s="149" t="s">
        <v>191</v>
      </c>
      <c r="B1119" s="193" t="s">
        <v>401</v>
      </c>
      <c r="C1119" s="194">
        <v>133</v>
      </c>
      <c r="D1119" s="194" t="s">
        <v>328</v>
      </c>
      <c r="E1119" s="194" t="s">
        <v>339</v>
      </c>
      <c r="F1119" s="234">
        <v>41658</v>
      </c>
      <c r="G1119" s="234" t="s">
        <v>384</v>
      </c>
      <c r="H1119" s="195" t="s">
        <v>25</v>
      </c>
      <c r="I1119" s="195">
        <v>221657.8</v>
      </c>
      <c r="J1119" s="196">
        <v>1</v>
      </c>
      <c r="K1119" s="197">
        <f>MONTH(Tabela1[[#This Row],[Data da Venda]])</f>
        <v>1</v>
      </c>
      <c r="L1119" s="197">
        <f>YEAR(Tabela1[[#This Row],[Data da Venda]])</f>
        <v>2014</v>
      </c>
    </row>
    <row r="1120" spans="1:12">
      <c r="A1120" s="149" t="s">
        <v>191</v>
      </c>
      <c r="B1120" s="193" t="s">
        <v>435</v>
      </c>
      <c r="C1120" s="194">
        <v>175</v>
      </c>
      <c r="D1120" s="194" t="s">
        <v>328</v>
      </c>
      <c r="E1120" s="194" t="s">
        <v>339</v>
      </c>
      <c r="F1120" s="234">
        <v>41658</v>
      </c>
      <c r="G1120" s="234" t="s">
        <v>148</v>
      </c>
      <c r="H1120" s="195" t="s">
        <v>26</v>
      </c>
      <c r="I1120" s="195">
        <v>271000</v>
      </c>
      <c r="J1120" s="196">
        <v>1</v>
      </c>
      <c r="K1120" s="197">
        <f>MONTH(Tabela1[[#This Row],[Data da Venda]])</f>
        <v>1</v>
      </c>
      <c r="L1120" s="197">
        <f>YEAR(Tabela1[[#This Row],[Data da Venda]])</f>
        <v>2014</v>
      </c>
    </row>
    <row r="1121" spans="1:12">
      <c r="A1121" s="192" t="s">
        <v>433</v>
      </c>
      <c r="B1121" s="193" t="s">
        <v>434</v>
      </c>
      <c r="C1121" s="194">
        <v>191</v>
      </c>
      <c r="D1121" s="194" t="s">
        <v>328</v>
      </c>
      <c r="E1121" s="194" t="s">
        <v>339</v>
      </c>
      <c r="F1121" s="234">
        <v>41658</v>
      </c>
      <c r="G1121" s="234" t="s">
        <v>367</v>
      </c>
      <c r="H1121" s="195" t="s">
        <v>27</v>
      </c>
      <c r="I1121" s="195">
        <v>2306800</v>
      </c>
      <c r="J1121" s="196">
        <v>1</v>
      </c>
      <c r="K1121" s="197">
        <f>MONTH(Tabela1[[#This Row],[Data da Venda]])</f>
        <v>1</v>
      </c>
      <c r="L1121" s="197">
        <f>YEAR(Tabela1[[#This Row],[Data da Venda]])</f>
        <v>2014</v>
      </c>
    </row>
    <row r="1122" spans="1:12">
      <c r="A1122" s="149" t="s">
        <v>208</v>
      </c>
      <c r="B1122" s="193" t="s">
        <v>388</v>
      </c>
      <c r="C1122" s="194">
        <v>7</v>
      </c>
      <c r="D1122" s="194" t="s">
        <v>328</v>
      </c>
      <c r="E1122" s="194" t="s">
        <v>339</v>
      </c>
      <c r="F1122" s="234">
        <v>41659</v>
      </c>
      <c r="G1122" s="234" t="s">
        <v>539</v>
      </c>
      <c r="H1122" s="195" t="s">
        <v>61</v>
      </c>
      <c r="I1122" s="195">
        <v>255800</v>
      </c>
      <c r="J1122" s="196">
        <v>1</v>
      </c>
      <c r="K1122" s="197">
        <f>MONTH(Tabela1[[#This Row],[Data da Venda]])</f>
        <v>1</v>
      </c>
      <c r="L1122" s="197">
        <f>YEAR(Tabela1[[#This Row],[Data da Venda]])</f>
        <v>2014</v>
      </c>
    </row>
    <row r="1123" spans="1:12">
      <c r="A1123" s="192" t="s">
        <v>233</v>
      </c>
      <c r="B1123" s="193" t="s">
        <v>428</v>
      </c>
      <c r="C1123" s="194">
        <v>176</v>
      </c>
      <c r="D1123" s="194" t="s">
        <v>328</v>
      </c>
      <c r="E1123" s="194" t="s">
        <v>339</v>
      </c>
      <c r="F1123" s="234">
        <v>41659</v>
      </c>
      <c r="G1123" s="234" t="s">
        <v>262</v>
      </c>
      <c r="H1123" s="195" t="s">
        <v>24</v>
      </c>
      <c r="I1123" s="195">
        <v>356832</v>
      </c>
      <c r="J1123" s="196">
        <v>1</v>
      </c>
      <c r="K1123" s="197">
        <f>MONTH(Tabela1[[#This Row],[Data da Venda]])</f>
        <v>1</v>
      </c>
      <c r="L1123" s="197">
        <f>YEAR(Tabela1[[#This Row],[Data da Venda]])</f>
        <v>2014</v>
      </c>
    </row>
    <row r="1124" spans="1:12">
      <c r="A1124" s="149" t="s">
        <v>191</v>
      </c>
      <c r="B1124" s="150" t="s">
        <v>385</v>
      </c>
      <c r="C1124" s="236">
        <v>72</v>
      </c>
      <c r="D1124" s="236" t="s">
        <v>329</v>
      </c>
      <c r="E1124" s="236" t="s">
        <v>339</v>
      </c>
      <c r="F1124" s="237">
        <v>41660</v>
      </c>
      <c r="G1124" s="156" t="s">
        <v>465</v>
      </c>
      <c r="H1124" s="238" t="s">
        <v>33</v>
      </c>
      <c r="I1124" s="238">
        <v>244000</v>
      </c>
      <c r="J1124" s="239">
        <v>1</v>
      </c>
      <c r="K1124" s="240">
        <f>MONTH(Tabela1[[#This Row],[Data da Venda]])</f>
        <v>1</v>
      </c>
      <c r="L1124" s="240">
        <f>YEAR(Tabela1[[#This Row],[Data da Venda]])</f>
        <v>2014</v>
      </c>
    </row>
    <row r="1125" spans="1:12">
      <c r="A1125" s="241" t="s">
        <v>419</v>
      </c>
      <c r="B1125" s="235" t="s">
        <v>454</v>
      </c>
      <c r="C1125" s="236">
        <v>309</v>
      </c>
      <c r="D1125" s="236" t="s">
        <v>328</v>
      </c>
      <c r="E1125" s="236" t="s">
        <v>339</v>
      </c>
      <c r="F1125" s="237">
        <v>41661</v>
      </c>
      <c r="G1125" s="237" t="s">
        <v>540</v>
      </c>
      <c r="H1125" s="238" t="s">
        <v>460</v>
      </c>
      <c r="I1125" s="238">
        <v>800000</v>
      </c>
      <c r="J1125" s="239">
        <v>1</v>
      </c>
      <c r="K1125" s="240">
        <f>MONTH(Tabela1[[#This Row],[Data da Venda]])</f>
        <v>1</v>
      </c>
      <c r="L1125" s="240">
        <f>YEAR(Tabela1[[#This Row],[Data da Venda]])</f>
        <v>2014</v>
      </c>
    </row>
    <row r="1126" spans="1:12">
      <c r="A1126" s="149" t="s">
        <v>191</v>
      </c>
      <c r="B1126" s="150" t="s">
        <v>385</v>
      </c>
      <c r="C1126" s="243">
        <v>18</v>
      </c>
      <c r="D1126" s="243" t="s">
        <v>328</v>
      </c>
      <c r="E1126" s="243" t="s">
        <v>339</v>
      </c>
      <c r="F1126" s="244">
        <v>41662</v>
      </c>
      <c r="G1126" s="234" t="s">
        <v>148</v>
      </c>
      <c r="H1126" s="245" t="s">
        <v>26</v>
      </c>
      <c r="I1126" s="245">
        <v>199500</v>
      </c>
      <c r="J1126" s="246">
        <v>1</v>
      </c>
      <c r="K1126" s="247">
        <f>MONTH(Tabela1[[#This Row],[Data da Venda]])</f>
        <v>1</v>
      </c>
      <c r="L1126" s="247">
        <f>YEAR(Tabela1[[#This Row],[Data da Venda]])</f>
        <v>2014</v>
      </c>
    </row>
    <row r="1127" spans="1:12">
      <c r="A1127" s="149" t="s">
        <v>191</v>
      </c>
      <c r="B1127" s="242" t="s">
        <v>401</v>
      </c>
      <c r="C1127" s="243">
        <v>124</v>
      </c>
      <c r="D1127" s="243" t="s">
        <v>329</v>
      </c>
      <c r="E1127" s="243" t="s">
        <v>339</v>
      </c>
      <c r="F1127" s="244">
        <v>41662</v>
      </c>
      <c r="G1127" s="156" t="s">
        <v>464</v>
      </c>
      <c r="H1127" s="245" t="s">
        <v>33</v>
      </c>
      <c r="I1127" s="245">
        <v>207600</v>
      </c>
      <c r="J1127" s="246">
        <v>1</v>
      </c>
      <c r="K1127" s="247">
        <f>MONTH(Tabela1[[#This Row],[Data da Venda]])</f>
        <v>1</v>
      </c>
      <c r="L1127" s="247">
        <f>YEAR(Tabela1[[#This Row],[Data da Venda]])</f>
        <v>2014</v>
      </c>
    </row>
    <row r="1128" spans="1:12">
      <c r="A1128" s="149" t="s">
        <v>191</v>
      </c>
      <c r="B1128" s="242" t="s">
        <v>401</v>
      </c>
      <c r="C1128" s="250">
        <v>54</v>
      </c>
      <c r="D1128" s="250" t="s">
        <v>328</v>
      </c>
      <c r="E1128" s="250" t="s">
        <v>339</v>
      </c>
      <c r="F1128" s="262">
        <v>41663</v>
      </c>
      <c r="G1128" s="262" t="s">
        <v>484</v>
      </c>
      <c r="H1128" s="251" t="s">
        <v>25</v>
      </c>
      <c r="I1128" s="251">
        <v>211404</v>
      </c>
      <c r="J1128" s="252">
        <v>1</v>
      </c>
      <c r="K1128" s="253">
        <f>MONTH(Tabela1[[#This Row],[Data da Venda]])</f>
        <v>1</v>
      </c>
      <c r="L1128" s="253">
        <f>YEAR(Tabela1[[#This Row],[Data da Venda]])</f>
        <v>2014</v>
      </c>
    </row>
    <row r="1129" spans="1:12">
      <c r="A1129" s="149" t="s">
        <v>191</v>
      </c>
      <c r="B1129" s="150" t="s">
        <v>401</v>
      </c>
      <c r="C1129" s="250">
        <v>64</v>
      </c>
      <c r="D1129" s="250" t="s">
        <v>328</v>
      </c>
      <c r="E1129" s="250" t="s">
        <v>339</v>
      </c>
      <c r="F1129" s="262">
        <v>41663</v>
      </c>
      <c r="G1129" s="262" t="s">
        <v>461</v>
      </c>
      <c r="H1129" s="251" t="s">
        <v>25</v>
      </c>
      <c r="I1129" s="251">
        <f>218287.07/2</f>
        <v>109143.535</v>
      </c>
      <c r="J1129" s="252">
        <v>0.5</v>
      </c>
      <c r="K1129" s="253">
        <f>MONTH(Tabela1[[#This Row],[Data da Venda]])</f>
        <v>1</v>
      </c>
      <c r="L1129" s="253">
        <f>YEAR(Tabela1[[#This Row],[Data da Venda]])</f>
        <v>2014</v>
      </c>
    </row>
    <row r="1130" spans="1:12">
      <c r="A1130" s="149" t="s">
        <v>191</v>
      </c>
      <c r="B1130" s="150" t="s">
        <v>401</v>
      </c>
      <c r="C1130" s="250">
        <v>64</v>
      </c>
      <c r="D1130" s="250" t="s">
        <v>328</v>
      </c>
      <c r="E1130" s="250" t="s">
        <v>339</v>
      </c>
      <c r="F1130" s="262">
        <v>41663</v>
      </c>
      <c r="G1130" s="188" t="s">
        <v>505</v>
      </c>
      <c r="H1130" s="251" t="s">
        <v>23</v>
      </c>
      <c r="I1130" s="251">
        <f>218287.07/2</f>
        <v>109143.535</v>
      </c>
      <c r="J1130" s="252">
        <v>0.5</v>
      </c>
      <c r="K1130" s="253">
        <f>MONTH(Tabela1[[#This Row],[Data da Venda]])</f>
        <v>1</v>
      </c>
      <c r="L1130" s="253">
        <f>YEAR(Tabela1[[#This Row],[Data da Venda]])</f>
        <v>2014</v>
      </c>
    </row>
    <row r="1131" spans="1:12">
      <c r="A1131" s="248" t="s">
        <v>422</v>
      </c>
      <c r="B1131" s="249" t="s">
        <v>541</v>
      </c>
      <c r="C1131" s="250">
        <v>103</v>
      </c>
      <c r="D1131" s="250" t="s">
        <v>328</v>
      </c>
      <c r="E1131" s="250" t="s">
        <v>339</v>
      </c>
      <c r="F1131" s="262">
        <v>41663</v>
      </c>
      <c r="G1131" s="262" t="s">
        <v>540</v>
      </c>
      <c r="H1131" s="251" t="s">
        <v>460</v>
      </c>
      <c r="I1131" s="251">
        <v>880000</v>
      </c>
      <c r="J1131" s="252">
        <v>1</v>
      </c>
      <c r="K1131" s="253">
        <f>MONTH(Tabela1[[#This Row],[Data da Venda]])</f>
        <v>1</v>
      </c>
      <c r="L1131" s="253">
        <f>YEAR(Tabela1[[#This Row],[Data da Venda]])</f>
        <v>2014</v>
      </c>
    </row>
    <row r="1132" spans="1:12">
      <c r="A1132" s="248" t="s">
        <v>186</v>
      </c>
      <c r="B1132" s="249" t="s">
        <v>418</v>
      </c>
      <c r="C1132" s="250">
        <v>306</v>
      </c>
      <c r="D1132" s="250" t="s">
        <v>329</v>
      </c>
      <c r="E1132" s="250" t="s">
        <v>339</v>
      </c>
      <c r="F1132" s="262">
        <v>41663</v>
      </c>
      <c r="G1132" s="156" t="s">
        <v>463</v>
      </c>
      <c r="H1132" s="251" t="s">
        <v>33</v>
      </c>
      <c r="I1132" s="251">
        <v>400000</v>
      </c>
      <c r="J1132" s="252">
        <v>1</v>
      </c>
      <c r="K1132" s="253">
        <f>MONTH(Tabela1[[#This Row],[Data da Venda]])</f>
        <v>1</v>
      </c>
      <c r="L1132" s="253">
        <f>YEAR(Tabela1[[#This Row],[Data da Venda]])</f>
        <v>2014</v>
      </c>
    </row>
    <row r="1133" spans="1:12">
      <c r="A1133" s="248" t="s">
        <v>489</v>
      </c>
      <c r="B1133" s="249" t="s">
        <v>490</v>
      </c>
      <c r="C1133" s="250">
        <v>306</v>
      </c>
      <c r="D1133" s="250" t="s">
        <v>328</v>
      </c>
      <c r="E1133" s="250" t="s">
        <v>340</v>
      </c>
      <c r="F1133" s="262">
        <v>41664</v>
      </c>
      <c r="G1133" s="262" t="s">
        <v>104</v>
      </c>
      <c r="H1133" s="251" t="s">
        <v>26</v>
      </c>
      <c r="I1133" s="251">
        <v>375593</v>
      </c>
      <c r="J1133" s="252">
        <v>1</v>
      </c>
      <c r="K1133" s="253">
        <v>1</v>
      </c>
      <c r="L1133" s="253">
        <v>2014</v>
      </c>
    </row>
    <row r="1134" spans="1:12">
      <c r="A1134" s="248" t="s">
        <v>53</v>
      </c>
      <c r="B1134" s="249" t="s">
        <v>414</v>
      </c>
      <c r="C1134" s="250">
        <v>98</v>
      </c>
      <c r="D1134" s="250" t="s">
        <v>328</v>
      </c>
      <c r="E1134" s="250" t="s">
        <v>339</v>
      </c>
      <c r="F1134" s="262">
        <v>41665</v>
      </c>
      <c r="G1134" s="262" t="s">
        <v>515</v>
      </c>
      <c r="H1134" s="251" t="s">
        <v>26</v>
      </c>
      <c r="I1134" s="251">
        <v>544500</v>
      </c>
      <c r="J1134" s="252">
        <v>1</v>
      </c>
      <c r="K1134" s="253">
        <f>MONTH(Tabela1[[#This Row],[Data da Venda]])</f>
        <v>1</v>
      </c>
      <c r="L1134" s="253">
        <f>YEAR(Tabela1[[#This Row],[Data da Venda]])</f>
        <v>2014</v>
      </c>
    </row>
    <row r="1135" spans="1:12">
      <c r="A1135" s="248" t="s">
        <v>53</v>
      </c>
      <c r="B1135" s="249" t="s">
        <v>414</v>
      </c>
      <c r="C1135" s="250" t="s">
        <v>544</v>
      </c>
      <c r="D1135" s="250" t="s">
        <v>328</v>
      </c>
      <c r="E1135" s="250" t="s">
        <v>339</v>
      </c>
      <c r="F1135" s="262">
        <v>41665</v>
      </c>
      <c r="G1135" s="262" t="s">
        <v>515</v>
      </c>
      <c r="H1135" s="251" t="s">
        <v>26</v>
      </c>
      <c r="I1135" s="251">
        <v>36787</v>
      </c>
      <c r="J1135" s="252">
        <v>1</v>
      </c>
      <c r="K1135" s="253">
        <f>MONTH(Tabela1[[#This Row],[Data da Venda]])</f>
        <v>1</v>
      </c>
      <c r="L1135" s="253">
        <f>YEAR(Tabela1[[#This Row],[Data da Venda]])</f>
        <v>2014</v>
      </c>
    </row>
    <row r="1136" spans="1:12">
      <c r="A1136" s="248" t="s">
        <v>233</v>
      </c>
      <c r="B1136" s="249" t="s">
        <v>428</v>
      </c>
      <c r="C1136" s="250">
        <v>13</v>
      </c>
      <c r="D1136" s="250" t="s">
        <v>328</v>
      </c>
      <c r="E1136" s="250" t="s">
        <v>339</v>
      </c>
      <c r="F1136" s="262">
        <v>41670</v>
      </c>
      <c r="G1136" s="262" t="s">
        <v>262</v>
      </c>
      <c r="H1136" s="251" t="s">
        <v>24</v>
      </c>
      <c r="I1136" s="251">
        <v>330000</v>
      </c>
      <c r="J1136" s="252">
        <v>1</v>
      </c>
      <c r="K1136" s="253">
        <f>MONTH(Tabela1[[#This Row],[Data da Venda]])</f>
        <v>1</v>
      </c>
      <c r="L1136" s="253">
        <f>YEAR(Tabela1[[#This Row],[Data da Venda]])</f>
        <v>2014</v>
      </c>
    </row>
    <row r="1137" spans="1:12" hidden="1">
      <c r="A1137" s="192" t="s">
        <v>427</v>
      </c>
      <c r="B1137" s="193" t="s">
        <v>517</v>
      </c>
      <c r="C1137" s="194">
        <v>1207</v>
      </c>
      <c r="D1137" s="194" t="s">
        <v>327</v>
      </c>
      <c r="E1137" s="155" t="s">
        <v>327</v>
      </c>
      <c r="F1137" s="234">
        <v>41653</v>
      </c>
      <c r="G1137" s="156" t="s">
        <v>360</v>
      </c>
      <c r="H1137" s="195" t="s">
        <v>362</v>
      </c>
      <c r="I1137" s="195">
        <v>414999.55</v>
      </c>
      <c r="J1137" s="196">
        <v>1</v>
      </c>
      <c r="K1137" s="197">
        <f>MONTH(Tabela1[[#This Row],[Data da Venda]])</f>
        <v>1</v>
      </c>
      <c r="L1137" s="197">
        <f>YEAR(Tabela1[[#This Row],[Data da Venda]])</f>
        <v>2014</v>
      </c>
    </row>
    <row r="1138" spans="1:12">
      <c r="A1138" s="248" t="s">
        <v>425</v>
      </c>
      <c r="B1138" s="249" t="s">
        <v>409</v>
      </c>
      <c r="C1138" s="250">
        <v>61</v>
      </c>
      <c r="D1138" s="250" t="s">
        <v>328</v>
      </c>
      <c r="E1138" s="250" t="s">
        <v>340</v>
      </c>
      <c r="F1138" s="262">
        <v>41670</v>
      </c>
      <c r="G1138" s="262" t="s">
        <v>545</v>
      </c>
      <c r="H1138" s="251" t="s">
        <v>25</v>
      </c>
      <c r="I1138" s="251">
        <v>422950</v>
      </c>
      <c r="J1138" s="252">
        <v>1</v>
      </c>
      <c r="K1138" s="253">
        <f>MONTH(Tabela1[[#This Row],[Data da Venda]])</f>
        <v>1</v>
      </c>
      <c r="L1138" s="253">
        <f>YEAR(Tabela1[[#This Row],[Data da Venda]])</f>
        <v>2014</v>
      </c>
    </row>
    <row r="1139" spans="1:12">
      <c r="A1139" s="248" t="s">
        <v>81</v>
      </c>
      <c r="B1139" s="249" t="s">
        <v>446</v>
      </c>
      <c r="C1139" s="250">
        <v>143</v>
      </c>
      <c r="D1139" s="250" t="s">
        <v>328</v>
      </c>
      <c r="E1139" s="250" t="s">
        <v>339</v>
      </c>
      <c r="F1139" s="262">
        <v>41670</v>
      </c>
      <c r="G1139" s="262" t="s">
        <v>310</v>
      </c>
      <c r="H1139" s="251" t="s">
        <v>61</v>
      </c>
      <c r="I1139" s="251">
        <v>885000</v>
      </c>
      <c r="J1139" s="252">
        <v>1</v>
      </c>
      <c r="K1139" s="253">
        <f>MONTH(Tabela1[[#This Row],[Data da Venda]])</f>
        <v>1</v>
      </c>
      <c r="L1139" s="253">
        <f>YEAR(Tabela1[[#This Row],[Data da Venda]])</f>
        <v>2014</v>
      </c>
    </row>
    <row r="1140" spans="1:12" hidden="1">
      <c r="A1140" s="263" t="s">
        <v>419</v>
      </c>
      <c r="B1140" s="264" t="s">
        <v>454</v>
      </c>
      <c r="C1140" s="265">
        <v>1808</v>
      </c>
      <c r="D1140" s="265" t="s">
        <v>327</v>
      </c>
      <c r="E1140" s="265" t="s">
        <v>327</v>
      </c>
      <c r="F1140" s="266">
        <v>41668</v>
      </c>
      <c r="G1140" s="156" t="s">
        <v>360</v>
      </c>
      <c r="H1140" s="267" t="s">
        <v>362</v>
      </c>
      <c r="I1140" s="267">
        <v>498449.85</v>
      </c>
      <c r="J1140" s="268">
        <v>1</v>
      </c>
      <c r="K1140" s="269">
        <f>MONTH(Tabela1[[#This Row],[Data da Venda]])</f>
        <v>1</v>
      </c>
      <c r="L1140" s="269">
        <f>YEAR(Tabela1[[#This Row],[Data da Venda]])</f>
        <v>2014</v>
      </c>
    </row>
    <row r="1141" spans="1:12">
      <c r="A1141" s="149" t="s">
        <v>191</v>
      </c>
      <c r="B1141" s="249" t="s">
        <v>401</v>
      </c>
      <c r="C1141" s="250">
        <v>148</v>
      </c>
      <c r="D1141" s="250" t="s">
        <v>329</v>
      </c>
      <c r="E1141" s="250" t="s">
        <v>339</v>
      </c>
      <c r="F1141" s="262">
        <v>41670</v>
      </c>
      <c r="G1141" s="156" t="s">
        <v>464</v>
      </c>
      <c r="H1141" s="251" t="s">
        <v>33</v>
      </c>
      <c r="I1141" s="251">
        <v>209000</v>
      </c>
      <c r="J1141" s="252">
        <v>1</v>
      </c>
      <c r="K1141" s="253">
        <f>MONTH(Tabela1[[#This Row],[Data da Venda]])</f>
        <v>1</v>
      </c>
      <c r="L1141" s="253">
        <f>YEAR(Tabela1[[#This Row],[Data da Venda]])</f>
        <v>2014</v>
      </c>
    </row>
    <row r="1142" spans="1:12" hidden="1">
      <c r="A1142" s="263" t="s">
        <v>427</v>
      </c>
      <c r="B1142" s="264" t="s">
        <v>509</v>
      </c>
      <c r="C1142" s="265">
        <v>408</v>
      </c>
      <c r="D1142" s="265" t="s">
        <v>327</v>
      </c>
      <c r="E1142" s="265" t="s">
        <v>327</v>
      </c>
      <c r="F1142" s="266">
        <v>41680</v>
      </c>
      <c r="G1142" s="156" t="s">
        <v>360</v>
      </c>
      <c r="H1142" s="267" t="s">
        <v>362</v>
      </c>
      <c r="I1142" s="267">
        <v>392523.62</v>
      </c>
      <c r="J1142" s="268">
        <v>1</v>
      </c>
      <c r="K1142" s="269">
        <f>MONTH(Tabela1[[#This Row],[Data da Venda]])</f>
        <v>2</v>
      </c>
      <c r="L1142" s="269">
        <f>YEAR(Tabela1[[#This Row],[Data da Venda]])</f>
        <v>2014</v>
      </c>
    </row>
  </sheetData>
  <conditionalFormatting sqref="C518:C519">
    <cfRule type="expression" dxfId="2" priority="1" stopIfTrue="1">
      <formula>C$1560="Fórmula"</formula>
    </cfRule>
    <cfRule type="expression" dxfId="1" priority="2" stopIfTrue="1">
      <formula>C$1560="Lista"</formula>
    </cfRule>
    <cfRule type="expression" dxfId="0" priority="3" stopIfTrue="1">
      <formula>1=1</formula>
    </cfRule>
  </conditionalFormatting>
  <pageMargins left="0.51181102362204722" right="0.51181102362204722" top="0.78740157480314965" bottom="0.78740157480314965" header="0.31496062992125984" footer="0.31496062992125984"/>
  <pageSetup paperSize="9" scale="60" orientation="landscape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G16" sqref="G16"/>
    </sheetView>
  </sheetViews>
  <sheetFormatPr defaultRowHeight="14.4"/>
  <cols>
    <col min="1" max="1" width="25.33203125" bestFit="1" customWidth="1"/>
    <col min="2" max="2" width="12.109375" bestFit="1" customWidth="1"/>
    <col min="4" max="4" width="9.6640625" bestFit="1" customWidth="1"/>
    <col min="5" max="5" width="9.88671875" bestFit="1" customWidth="1"/>
    <col min="6" max="6" width="10.6640625" bestFit="1" customWidth="1"/>
    <col min="7" max="7" width="9.5546875" bestFit="1" customWidth="1"/>
    <col min="8" max="8" width="15.6640625" customWidth="1"/>
  </cols>
  <sheetData>
    <row r="1" spans="1:9" s="7" customFormat="1">
      <c r="A1" s="99"/>
      <c r="B1" s="99"/>
      <c r="C1" s="99"/>
      <c r="D1" s="99"/>
      <c r="E1" s="99"/>
      <c r="F1" s="99"/>
      <c r="G1" s="99"/>
      <c r="H1" s="99"/>
      <c r="I1" s="99"/>
    </row>
    <row r="2" spans="1:9">
      <c r="A2" s="15"/>
      <c r="B2" s="25"/>
      <c r="C2" s="42"/>
      <c r="D2" s="9"/>
      <c r="E2" s="12"/>
      <c r="F2" s="10"/>
      <c r="G2" s="10"/>
      <c r="H2" s="90"/>
      <c r="I2" s="34"/>
    </row>
    <row r="3" spans="1:9">
      <c r="A3" s="15"/>
      <c r="B3" s="25"/>
      <c r="C3" s="42"/>
      <c r="D3" s="9"/>
      <c r="E3" s="12"/>
      <c r="F3" s="10"/>
      <c r="G3" s="10"/>
      <c r="H3" s="90"/>
      <c r="I3" s="34"/>
    </row>
    <row r="4" spans="1:9">
      <c r="A4" s="15"/>
      <c r="B4" s="25"/>
      <c r="C4" s="39"/>
      <c r="D4" s="9"/>
      <c r="E4" s="12"/>
      <c r="F4" s="10"/>
      <c r="G4" s="10"/>
      <c r="H4" s="90"/>
      <c r="I4" s="34"/>
    </row>
    <row r="5" spans="1:9">
      <c r="A5" s="15"/>
      <c r="B5" s="25"/>
      <c r="C5" s="39"/>
      <c r="D5" s="9"/>
      <c r="E5" s="12"/>
      <c r="F5" s="10"/>
      <c r="G5" s="10"/>
      <c r="H5" s="90"/>
      <c r="I5" s="34"/>
    </row>
    <row r="6" spans="1:9">
      <c r="A6" s="15"/>
      <c r="B6" s="25"/>
      <c r="C6" s="39"/>
      <c r="D6" s="9"/>
      <c r="E6" s="12"/>
      <c r="F6" s="10"/>
      <c r="G6" s="10"/>
      <c r="H6" s="90"/>
      <c r="I6" s="34"/>
    </row>
    <row r="7" spans="1:9">
      <c r="A7" s="15"/>
      <c r="B7" s="25"/>
      <c r="C7" s="42"/>
      <c r="D7" s="9"/>
      <c r="E7" s="12"/>
      <c r="F7" s="10"/>
      <c r="G7" s="100"/>
      <c r="H7" s="90"/>
      <c r="I7" s="62"/>
    </row>
    <row r="8" spans="1:9">
      <c r="A8" s="15"/>
      <c r="B8" s="25"/>
      <c r="C8" s="42"/>
      <c r="D8" s="9"/>
      <c r="E8" s="12"/>
      <c r="F8" s="10"/>
      <c r="G8" s="100"/>
      <c r="H8" s="90"/>
      <c r="I8" s="34"/>
    </row>
    <row r="9" spans="1:9">
      <c r="A9" s="15"/>
      <c r="B9" s="25"/>
      <c r="C9" s="39"/>
      <c r="D9" s="9"/>
      <c r="E9" s="12"/>
      <c r="F9" s="10"/>
      <c r="G9" s="10"/>
      <c r="H9" s="90"/>
      <c r="I9" s="34"/>
    </row>
    <row r="10" spans="1:9">
      <c r="A10" s="15"/>
      <c r="B10" s="25"/>
      <c r="C10" s="39"/>
      <c r="D10" s="9"/>
      <c r="E10" s="12"/>
      <c r="F10" s="10"/>
      <c r="G10" s="10"/>
      <c r="H10" s="90"/>
      <c r="I10" s="62"/>
    </row>
    <row r="11" spans="1:9">
      <c r="A11" s="15"/>
      <c r="B11" s="25"/>
      <c r="C11" s="39"/>
      <c r="D11" s="9"/>
      <c r="E11" s="12"/>
      <c r="F11" s="10"/>
      <c r="G11" s="10"/>
      <c r="H11" s="90"/>
      <c r="I11" s="62"/>
    </row>
    <row r="12" spans="1:9">
      <c r="A12" s="15"/>
      <c r="B12" s="25"/>
      <c r="C12" s="39"/>
      <c r="D12" s="9"/>
      <c r="E12" s="12"/>
      <c r="F12" s="10"/>
      <c r="G12" s="10"/>
      <c r="H12" s="90"/>
      <c r="I12" s="62"/>
    </row>
    <row r="13" spans="1:9">
      <c r="A13" s="15"/>
      <c r="B13" s="25"/>
      <c r="C13" s="39"/>
      <c r="D13" s="9"/>
      <c r="E13" s="12"/>
      <c r="F13" s="10"/>
      <c r="G13" s="10"/>
      <c r="H13" s="90"/>
      <c r="I13" s="62"/>
    </row>
    <row r="14" spans="1:9">
      <c r="A14" s="15"/>
      <c r="B14" s="25"/>
      <c r="C14" s="39"/>
      <c r="D14" s="9"/>
      <c r="E14" s="12"/>
      <c r="F14" s="10"/>
      <c r="G14" s="10"/>
      <c r="H14" s="90"/>
      <c r="I14" s="62"/>
    </row>
    <row r="15" spans="1:9">
      <c r="A15" s="15"/>
      <c r="B15" s="25"/>
      <c r="C15" s="39"/>
      <c r="D15" s="9"/>
      <c r="E15" s="12"/>
      <c r="F15" s="10"/>
      <c r="G15" s="10"/>
      <c r="H15" s="90"/>
      <c r="I15" s="62"/>
    </row>
    <row r="16" spans="1:9">
      <c r="A16" s="15"/>
      <c r="B16" s="25"/>
      <c r="C16" s="39"/>
      <c r="D16" s="9"/>
      <c r="E16" s="12"/>
      <c r="F16" s="10"/>
      <c r="G16" s="10"/>
      <c r="H16" s="90"/>
      <c r="I16" s="62"/>
    </row>
    <row r="17" spans="1:9">
      <c r="A17" s="15"/>
      <c r="B17" s="25"/>
      <c r="C17" s="39"/>
      <c r="D17" s="9"/>
      <c r="E17" s="12"/>
      <c r="F17" s="10"/>
      <c r="G17" s="10"/>
      <c r="H17" s="90"/>
      <c r="I17" s="62"/>
    </row>
    <row r="18" spans="1:9">
      <c r="A18" s="15"/>
      <c r="B18" s="25"/>
      <c r="C18" s="39"/>
      <c r="D18" s="9"/>
      <c r="E18" s="12"/>
      <c r="F18" s="10"/>
      <c r="G18" s="10"/>
      <c r="H18" s="90"/>
      <c r="I18" s="62"/>
    </row>
    <row r="19" spans="1:9">
      <c r="A19" s="15"/>
      <c r="B19" s="25"/>
      <c r="C19" s="39"/>
      <c r="D19" s="9"/>
      <c r="E19" s="12"/>
      <c r="F19" s="10"/>
      <c r="G19" s="10"/>
      <c r="H19" s="90"/>
      <c r="I19" s="62"/>
    </row>
    <row r="20" spans="1:9">
      <c r="A20" s="15"/>
      <c r="B20" s="25"/>
      <c r="C20" s="39"/>
      <c r="D20" s="9"/>
      <c r="E20" s="12"/>
      <c r="F20" s="10"/>
      <c r="G20" s="10"/>
      <c r="H20" s="90"/>
      <c r="I20" s="62"/>
    </row>
    <row r="21" spans="1:9">
      <c r="A21" s="15"/>
      <c r="B21" s="25"/>
      <c r="C21" s="39"/>
      <c r="D21" s="9"/>
      <c r="E21" s="12"/>
      <c r="F21" s="10"/>
      <c r="G21" s="10"/>
      <c r="H21" s="90"/>
      <c r="I21" s="34"/>
    </row>
    <row r="22" spans="1:9">
      <c r="A22" s="15"/>
      <c r="B22" s="25"/>
      <c r="C22" s="39"/>
      <c r="D22" s="9"/>
      <c r="E22" s="12"/>
      <c r="F22" s="10"/>
      <c r="G22" s="10"/>
      <c r="H22" s="90"/>
      <c r="I22" s="34"/>
    </row>
    <row r="23" spans="1:9">
      <c r="A23" s="15"/>
      <c r="B23" s="25"/>
      <c r="C23" s="39"/>
      <c r="D23" s="9"/>
      <c r="E23" s="12"/>
      <c r="F23" s="10"/>
      <c r="G23" s="10"/>
      <c r="H23" s="90"/>
      <c r="I23" s="34"/>
    </row>
    <row r="24" spans="1:9">
      <c r="A24" s="15"/>
      <c r="B24" s="25"/>
      <c r="C24" s="39"/>
      <c r="D24" s="9"/>
      <c r="E24" s="12"/>
      <c r="F24" s="10"/>
      <c r="G24" s="10"/>
      <c r="H24" s="90"/>
      <c r="I24" s="34"/>
    </row>
    <row r="25" spans="1:9">
      <c r="A25" s="15"/>
      <c r="B25" s="25"/>
      <c r="C25" s="25"/>
      <c r="D25" s="98"/>
      <c r="E25" s="25"/>
      <c r="F25" s="89"/>
      <c r="G25" s="89"/>
      <c r="H25" s="16"/>
      <c r="I25" s="25"/>
    </row>
    <row r="26" spans="1:9">
      <c r="H26" s="91"/>
      <c r="I26" s="10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8"/>
  <sheetViews>
    <sheetView workbookViewId="0">
      <selection activeCell="C17" sqref="C17"/>
    </sheetView>
  </sheetViews>
  <sheetFormatPr defaultColWidth="9.109375" defaultRowHeight="14.4"/>
  <cols>
    <col min="1" max="1" width="25" style="7" customWidth="1"/>
    <col min="2" max="2" width="13.6640625" style="7" bestFit="1" customWidth="1"/>
    <col min="3" max="3" width="20.6640625" style="7" customWidth="1"/>
    <col min="4" max="4" width="13.88671875" style="7" bestFit="1" customWidth="1"/>
    <col min="5" max="6" width="15" style="7" customWidth="1"/>
    <col min="7" max="7" width="14.6640625" style="7" customWidth="1"/>
    <col min="8" max="8" width="13.33203125" style="7" customWidth="1"/>
    <col min="9" max="9" width="15.33203125" style="7" bestFit="1" customWidth="1"/>
    <col min="10" max="10" width="10.44140625" style="7" customWidth="1"/>
    <col min="11" max="11" width="5.6640625" style="7" customWidth="1"/>
    <col min="12" max="13" width="15.44140625" style="7" hidden="1" customWidth="1"/>
    <col min="14" max="14" width="13.88671875" style="7" hidden="1" customWidth="1"/>
    <col min="15" max="15" width="11.5546875" style="7" hidden="1" customWidth="1"/>
    <col min="16" max="18" width="9.109375" style="7"/>
    <col min="19" max="19" width="12.88671875" style="7" customWidth="1"/>
    <col min="20" max="20" width="15.44140625" style="7" bestFit="1" customWidth="1"/>
    <col min="21" max="16384" width="9.109375" style="7"/>
  </cols>
  <sheetData>
    <row r="1" spans="1:20">
      <c r="A1" s="8" t="s">
        <v>11</v>
      </c>
      <c r="B1" s="8" t="s">
        <v>10</v>
      </c>
      <c r="C1" s="8" t="s">
        <v>0</v>
      </c>
      <c r="D1" s="8" t="s">
        <v>1</v>
      </c>
      <c r="E1" s="8" t="s">
        <v>2</v>
      </c>
      <c r="F1" s="8" t="s">
        <v>6</v>
      </c>
      <c r="G1" s="8" t="s">
        <v>28</v>
      </c>
      <c r="H1" s="8" t="s">
        <v>29</v>
      </c>
      <c r="I1" s="8" t="s">
        <v>3</v>
      </c>
      <c r="J1" s="32" t="s">
        <v>13</v>
      </c>
    </row>
    <row r="2" spans="1:20">
      <c r="A2" s="15" t="s">
        <v>124</v>
      </c>
      <c r="B2" s="25" t="s">
        <v>85</v>
      </c>
      <c r="C2" s="39">
        <v>101</v>
      </c>
      <c r="D2" s="9">
        <v>41343</v>
      </c>
      <c r="E2" s="12" t="s">
        <v>71</v>
      </c>
      <c r="F2" s="12" t="s">
        <v>24</v>
      </c>
      <c r="G2" s="10">
        <v>5822.36</v>
      </c>
      <c r="H2" s="10"/>
      <c r="I2" s="10">
        <v>214848.07</v>
      </c>
      <c r="J2" s="62">
        <v>0.5</v>
      </c>
      <c r="L2" s="123" t="str">
        <f>E2</f>
        <v>CHANNEL</v>
      </c>
      <c r="M2" s="123" t="s">
        <v>23</v>
      </c>
      <c r="N2" s="124">
        <f>I2</f>
        <v>214848.07</v>
      </c>
      <c r="O2" s="125">
        <f>J2</f>
        <v>0.5</v>
      </c>
      <c r="R2" s="142" t="s">
        <v>317</v>
      </c>
      <c r="S2" s="142" t="s">
        <v>318</v>
      </c>
      <c r="T2" s="142" t="s">
        <v>3</v>
      </c>
    </row>
    <row r="3" spans="1:20">
      <c r="A3" s="15" t="s">
        <v>124</v>
      </c>
      <c r="B3" s="25" t="s">
        <v>85</v>
      </c>
      <c r="C3" s="42">
        <v>911</v>
      </c>
      <c r="D3" s="9">
        <v>41343</v>
      </c>
      <c r="E3" s="12" t="s">
        <v>71</v>
      </c>
      <c r="F3" s="12" t="s">
        <v>24</v>
      </c>
      <c r="G3" s="10">
        <v>6436.25</v>
      </c>
      <c r="H3" s="10"/>
      <c r="I3" s="10">
        <v>237500</v>
      </c>
      <c r="J3" s="62">
        <v>0.5</v>
      </c>
      <c r="L3" s="123" t="str">
        <f>E3</f>
        <v>CHANNEL</v>
      </c>
      <c r="M3" s="123" t="s">
        <v>26</v>
      </c>
      <c r="N3" s="124">
        <f>SUM(I3:I7)</f>
        <v>4473280.76</v>
      </c>
      <c r="O3" s="125">
        <f>SUM(J3:J7)</f>
        <v>6.5</v>
      </c>
      <c r="R3" s="11" t="s">
        <v>25</v>
      </c>
      <c r="S3" s="11">
        <f>SUMIF($F$2:F434,"JIMMY",$J$2:J434)</f>
        <v>75.5</v>
      </c>
      <c r="T3" s="124">
        <f>SUMIF($F$2:F434,"JIMMY",$I$2:I434)</f>
        <v>33655170.480000004</v>
      </c>
    </row>
    <row r="4" spans="1:20">
      <c r="A4" s="15" t="s">
        <v>145</v>
      </c>
      <c r="B4" s="25" t="s">
        <v>85</v>
      </c>
      <c r="C4" s="39">
        <v>511</v>
      </c>
      <c r="D4" s="9">
        <v>41413</v>
      </c>
      <c r="E4" s="12" t="s">
        <v>71</v>
      </c>
      <c r="F4" s="12" t="s">
        <v>24</v>
      </c>
      <c r="G4" s="10">
        <v>2811.81</v>
      </c>
      <c r="H4" s="10">
        <v>1950.7</v>
      </c>
      <c r="I4" s="10">
        <v>175738.23999999999</v>
      </c>
      <c r="J4" s="62">
        <v>0.5</v>
      </c>
      <c r="L4" s="130"/>
      <c r="M4" s="131"/>
      <c r="N4" s="131"/>
      <c r="O4" s="132"/>
      <c r="R4" s="11" t="s">
        <v>26</v>
      </c>
      <c r="S4" s="11">
        <f>SUMIF($F$2:F436,"MOSHE",$J$2:J436)</f>
        <v>59.5</v>
      </c>
      <c r="T4" s="124">
        <f>SUMIF($F$2:F433,"MOSHE",$I$2:I433)</f>
        <v>33395358.640000004</v>
      </c>
    </row>
    <row r="5" spans="1:20">
      <c r="A5" s="15" t="s">
        <v>145</v>
      </c>
      <c r="B5" s="25" t="s">
        <v>85</v>
      </c>
      <c r="C5" s="39">
        <v>1706</v>
      </c>
      <c r="D5" s="9">
        <v>41413</v>
      </c>
      <c r="E5" s="12" t="s">
        <v>71</v>
      </c>
      <c r="F5" s="12" t="s">
        <v>24</v>
      </c>
      <c r="G5" s="10">
        <v>2975.2</v>
      </c>
      <c r="H5" s="10">
        <v>2064.0500000000002</v>
      </c>
      <c r="I5" s="10">
        <v>185950</v>
      </c>
      <c r="J5" s="62">
        <v>0.5</v>
      </c>
      <c r="L5" s="133"/>
      <c r="M5" s="134"/>
      <c r="N5" s="134"/>
      <c r="O5" s="135"/>
      <c r="R5" s="11" t="s">
        <v>24</v>
      </c>
      <c r="S5" s="11">
        <f>SUMIF($F$2:F438,"ABILIO",$J$2:J438)</f>
        <v>63.25</v>
      </c>
      <c r="T5" s="124">
        <f>SUMIF($F$2:F438,"ABILIO",$I$2:I438)</f>
        <v>30019724.600000005</v>
      </c>
    </row>
    <row r="6" spans="1:20">
      <c r="A6" s="15" t="s">
        <v>124</v>
      </c>
      <c r="B6" s="25" t="s">
        <v>85</v>
      </c>
      <c r="C6" s="42" t="s">
        <v>223</v>
      </c>
      <c r="D6" s="9">
        <v>41343</v>
      </c>
      <c r="E6" s="12" t="s">
        <v>70</v>
      </c>
      <c r="F6" s="12" t="s">
        <v>24</v>
      </c>
      <c r="G6" s="10">
        <f>8604.16+11728.04+13453.94+13200.09</f>
        <v>46986.229999999996</v>
      </c>
      <c r="H6" s="10"/>
      <c r="I6" s="10">
        <f>407780+432768.95+496455.36+487088.21</f>
        <v>1824092.52</v>
      </c>
      <c r="J6" s="62">
        <v>4</v>
      </c>
      <c r="L6" s="133"/>
      <c r="M6" s="134"/>
      <c r="N6" s="134"/>
      <c r="O6" s="135"/>
      <c r="R6" s="11" t="s">
        <v>27</v>
      </c>
      <c r="S6" s="11">
        <f>SUMIF($F$2:F436,"VITOR",$J$2:J436)</f>
        <v>51.5</v>
      </c>
      <c r="T6" s="124">
        <f>SUMIF($F$2:F436,"VITOR",$I$2:I436)</f>
        <v>23103387.890000001</v>
      </c>
    </row>
    <row r="7" spans="1:20">
      <c r="A7" s="15" t="s">
        <v>264</v>
      </c>
      <c r="B7" s="25" t="s">
        <v>85</v>
      </c>
      <c r="C7" s="39">
        <v>211</v>
      </c>
      <c r="D7" s="9">
        <v>41446</v>
      </c>
      <c r="E7" s="12" t="s">
        <v>70</v>
      </c>
      <c r="F7" s="12" t="s">
        <v>24</v>
      </c>
      <c r="G7" s="10">
        <v>41000</v>
      </c>
      <c r="H7" s="10">
        <v>0</v>
      </c>
      <c r="I7" s="10">
        <v>2050000</v>
      </c>
      <c r="J7" s="34">
        <v>1</v>
      </c>
      <c r="L7" s="136"/>
      <c r="M7" s="137"/>
      <c r="N7" s="137"/>
      <c r="O7" s="138"/>
      <c r="R7" s="11" t="s">
        <v>23</v>
      </c>
      <c r="S7" s="11">
        <f>SUMIF($F$2:F434,"ROBSON",$J$2:J434)</f>
        <v>53.75</v>
      </c>
      <c r="T7" s="124">
        <f>SUMIF($F$2:F434,"ROBSON",$I$2:I434)</f>
        <v>22370803.420000002</v>
      </c>
    </row>
    <row r="8" spans="1:20">
      <c r="A8" s="11" t="s">
        <v>269</v>
      </c>
      <c r="B8" s="25" t="s">
        <v>85</v>
      </c>
      <c r="C8" s="25">
        <v>151</v>
      </c>
      <c r="D8" s="98">
        <v>41439</v>
      </c>
      <c r="E8" s="25" t="s">
        <v>268</v>
      </c>
      <c r="F8" s="25" t="s">
        <v>24</v>
      </c>
      <c r="G8" s="105">
        <v>20947.29</v>
      </c>
      <c r="H8" s="105">
        <v>0</v>
      </c>
      <c r="I8" s="105">
        <v>568250</v>
      </c>
      <c r="J8" s="25">
        <v>0.25</v>
      </c>
      <c r="L8" s="123" t="str">
        <f>E8</f>
        <v>DAMIÃO</v>
      </c>
      <c r="M8" s="123" t="s">
        <v>25</v>
      </c>
      <c r="N8" s="124">
        <f>I8</f>
        <v>568250</v>
      </c>
      <c r="O8" s="125">
        <f>J8</f>
        <v>0.25</v>
      </c>
      <c r="R8" s="11" t="s">
        <v>61</v>
      </c>
      <c r="S8" s="11">
        <f>SUMIF($F$2:F440,"DOUGLAS",$J$2:J440)</f>
        <v>36</v>
      </c>
      <c r="T8" s="124">
        <f>SUMIF($F$2:F440,"DOUGLAS",$I$2:I440)</f>
        <v>16718501.76</v>
      </c>
    </row>
    <row r="9" spans="1:20">
      <c r="A9" s="15" t="s">
        <v>145</v>
      </c>
      <c r="B9" s="25" t="s">
        <v>85</v>
      </c>
      <c r="C9" s="39">
        <v>511</v>
      </c>
      <c r="D9" s="9">
        <v>41413</v>
      </c>
      <c r="E9" s="12" t="s">
        <v>307</v>
      </c>
      <c r="F9" s="12" t="s">
        <v>24</v>
      </c>
      <c r="G9" s="10">
        <v>2811.81</v>
      </c>
      <c r="H9" s="10">
        <v>1950.7</v>
      </c>
      <c r="I9" s="10">
        <v>175738.23999999999</v>
      </c>
      <c r="J9" s="62">
        <v>0.5</v>
      </c>
      <c r="L9" s="123" t="str">
        <f>E9</f>
        <v>ERICA</v>
      </c>
      <c r="M9" s="123" t="s">
        <v>25</v>
      </c>
      <c r="N9" s="124">
        <f>SUM(I9:I12)</f>
        <v>910769.22</v>
      </c>
      <c r="O9" s="125">
        <f>SUM(J9:J12)</f>
        <v>2</v>
      </c>
      <c r="R9" s="11" t="s">
        <v>79</v>
      </c>
      <c r="S9" s="11">
        <f>SUMIF($F$2:F439,"LUCIANO",$J$2:J439)</f>
        <v>26.5</v>
      </c>
      <c r="T9" s="124">
        <f>SUMIF($F$2:F439,"LUCIANO",$I$2:I439)</f>
        <v>13069017.049999999</v>
      </c>
    </row>
    <row r="10" spans="1:20">
      <c r="A10" s="15" t="s">
        <v>145</v>
      </c>
      <c r="B10" s="25" t="s">
        <v>85</v>
      </c>
      <c r="C10" s="39">
        <v>1706</v>
      </c>
      <c r="D10" s="9">
        <v>41413</v>
      </c>
      <c r="E10" s="12" t="s">
        <v>307</v>
      </c>
      <c r="F10" s="12" t="s">
        <v>24</v>
      </c>
      <c r="G10" s="10">
        <v>2975.2</v>
      </c>
      <c r="H10" s="10">
        <v>2064.0500000000002</v>
      </c>
      <c r="I10" s="10">
        <v>185950</v>
      </c>
      <c r="J10" s="62">
        <v>0.5</v>
      </c>
      <c r="L10" s="130"/>
      <c r="M10" s="131"/>
      <c r="N10" s="131"/>
      <c r="O10" s="132"/>
      <c r="R10" s="11" t="s">
        <v>32</v>
      </c>
      <c r="S10" s="11">
        <f>SUMIF($F$2:F438,"PIANTE",$J$2:J438)</f>
        <v>13.5</v>
      </c>
      <c r="T10" s="124">
        <f>SUMIF($F$2:F438,"PIANTE",$I$2:I438)</f>
        <v>5490159.5499999998</v>
      </c>
    </row>
    <row r="11" spans="1:20">
      <c r="A11" s="15" t="s">
        <v>270</v>
      </c>
      <c r="B11" s="25" t="s">
        <v>272</v>
      </c>
      <c r="C11" s="39">
        <v>31</v>
      </c>
      <c r="D11" s="9">
        <v>41451</v>
      </c>
      <c r="E11" s="12" t="s">
        <v>307</v>
      </c>
      <c r="F11" s="12" t="s">
        <v>24</v>
      </c>
      <c r="G11" s="10">
        <v>5225.7700000000004</v>
      </c>
      <c r="H11" s="10">
        <v>2645.55</v>
      </c>
      <c r="I11" s="10">
        <v>326610.53000000003</v>
      </c>
      <c r="J11" s="34">
        <v>0.5</v>
      </c>
      <c r="L11" s="133"/>
      <c r="M11" s="134"/>
      <c r="N11" s="134"/>
      <c r="O11" s="135"/>
      <c r="R11" s="11"/>
      <c r="S11" s="125"/>
      <c r="T11" s="11"/>
    </row>
    <row r="12" spans="1:20">
      <c r="A12" s="15" t="s">
        <v>270</v>
      </c>
      <c r="B12" s="25" t="s">
        <v>271</v>
      </c>
      <c r="C12" s="39">
        <v>32</v>
      </c>
      <c r="D12" s="9">
        <v>41452</v>
      </c>
      <c r="E12" s="12" t="s">
        <v>307</v>
      </c>
      <c r="F12" s="12" t="s">
        <v>24</v>
      </c>
      <c r="G12" s="10">
        <v>3559.53</v>
      </c>
      <c r="H12" s="10">
        <v>1802.01</v>
      </c>
      <c r="I12" s="10">
        <v>222470.45</v>
      </c>
      <c r="J12" s="34">
        <v>0.5</v>
      </c>
      <c r="L12" s="136"/>
      <c r="M12" s="137"/>
      <c r="N12" s="137"/>
      <c r="O12" s="138"/>
      <c r="R12" s="103" t="s">
        <v>108</v>
      </c>
      <c r="S12" s="139">
        <f>SUM(S3:S10)</f>
        <v>379.5</v>
      </c>
      <c r="T12" s="91">
        <f>SUM(T3:T10)</f>
        <v>177822123.39000005</v>
      </c>
    </row>
    <row r="13" spans="1:20">
      <c r="A13" s="15" t="s">
        <v>270</v>
      </c>
      <c r="B13" s="25" t="s">
        <v>272</v>
      </c>
      <c r="C13" s="39">
        <v>83</v>
      </c>
      <c r="D13" s="9">
        <v>41453</v>
      </c>
      <c r="E13" s="12" t="s">
        <v>307</v>
      </c>
      <c r="F13" s="12" t="s">
        <v>24</v>
      </c>
      <c r="G13" s="10">
        <v>2268.7399999999998</v>
      </c>
      <c r="H13" s="10">
        <v>2625.25</v>
      </c>
      <c r="I13" s="10">
        <v>648210.23</v>
      </c>
      <c r="J13" s="34">
        <v>0.5</v>
      </c>
      <c r="L13" s="123" t="str">
        <f>E13</f>
        <v>ERICA</v>
      </c>
      <c r="M13" s="123" t="s">
        <v>23</v>
      </c>
      <c r="N13" s="124">
        <f>I13</f>
        <v>648210.23</v>
      </c>
      <c r="O13" s="125">
        <f>J13</f>
        <v>0.5</v>
      </c>
    </row>
    <row r="14" spans="1:20">
      <c r="A14" s="15" t="s">
        <v>124</v>
      </c>
      <c r="B14" s="25" t="s">
        <v>85</v>
      </c>
      <c r="C14" s="42">
        <v>911</v>
      </c>
      <c r="D14" s="9">
        <v>41343</v>
      </c>
      <c r="E14" s="12" t="s">
        <v>307</v>
      </c>
      <c r="F14" s="12" t="s">
        <v>24</v>
      </c>
      <c r="G14" s="10">
        <v>6436.25</v>
      </c>
      <c r="H14" s="10"/>
      <c r="I14" s="10">
        <v>237500</v>
      </c>
      <c r="J14" s="62">
        <v>0.5</v>
      </c>
      <c r="L14" s="123" t="str">
        <f>E14</f>
        <v>ERICA</v>
      </c>
      <c r="M14" s="123" t="s">
        <v>25</v>
      </c>
      <c r="N14" s="124">
        <f>SUM(I14:I15)</f>
        <v>878550</v>
      </c>
      <c r="O14" s="125">
        <f>SUM(J14:J15)</f>
        <v>1.5</v>
      </c>
    </row>
    <row r="15" spans="1:20">
      <c r="A15" s="15" t="s">
        <v>53</v>
      </c>
      <c r="B15" s="25" t="s">
        <v>113</v>
      </c>
      <c r="C15" s="42">
        <v>43</v>
      </c>
      <c r="D15" s="9">
        <v>41305</v>
      </c>
      <c r="E15" s="12" t="s">
        <v>36</v>
      </c>
      <c r="F15" s="12" t="s">
        <v>24</v>
      </c>
      <c r="G15" s="10">
        <v>10256.799999999999</v>
      </c>
      <c r="H15" s="10">
        <v>0</v>
      </c>
      <c r="I15" s="10">
        <v>641050</v>
      </c>
      <c r="J15" s="34">
        <v>1</v>
      </c>
      <c r="L15" s="127"/>
      <c r="M15" s="128"/>
      <c r="N15" s="128"/>
      <c r="O15" s="129"/>
    </row>
    <row r="16" spans="1:20">
      <c r="A16" s="102" t="s">
        <v>186</v>
      </c>
      <c r="B16" s="25" t="s">
        <v>85</v>
      </c>
      <c r="C16" s="39">
        <v>702</v>
      </c>
      <c r="D16" s="12">
        <v>41340</v>
      </c>
      <c r="E16" s="12" t="s">
        <v>55</v>
      </c>
      <c r="F16" s="12" t="s">
        <v>24</v>
      </c>
      <c r="G16" s="10">
        <v>5830.87</v>
      </c>
      <c r="H16" s="10"/>
      <c r="I16" s="10">
        <v>224264.27</v>
      </c>
      <c r="J16" s="34">
        <v>0.5</v>
      </c>
      <c r="L16" s="123" t="str">
        <f>E16</f>
        <v>HELOISA</v>
      </c>
      <c r="M16" s="123" t="s">
        <v>79</v>
      </c>
      <c r="N16" s="124">
        <f>SUM(I16:I17)</f>
        <v>448707.54</v>
      </c>
      <c r="O16" s="125">
        <f>SUM(J16:J17)</f>
        <v>1</v>
      </c>
    </row>
    <row r="17" spans="1:15">
      <c r="A17" s="102" t="s">
        <v>186</v>
      </c>
      <c r="B17" s="25" t="s">
        <v>85</v>
      </c>
      <c r="C17" s="39">
        <v>703</v>
      </c>
      <c r="D17" s="12">
        <v>41340</v>
      </c>
      <c r="E17" s="12" t="s">
        <v>55</v>
      </c>
      <c r="F17" s="12" t="s">
        <v>24</v>
      </c>
      <c r="G17" s="10">
        <v>5835.53</v>
      </c>
      <c r="H17" s="10"/>
      <c r="I17" s="10">
        <v>224443.27</v>
      </c>
      <c r="J17" s="34">
        <v>0.5</v>
      </c>
      <c r="L17" s="287"/>
      <c r="M17" s="288"/>
      <c r="N17" s="288"/>
      <c r="O17" s="289"/>
    </row>
    <row r="18" spans="1:15">
      <c r="A18" s="15" t="s">
        <v>145</v>
      </c>
      <c r="B18" s="25" t="s">
        <v>85</v>
      </c>
      <c r="C18" s="39">
        <v>1713</v>
      </c>
      <c r="D18" s="9">
        <v>41413</v>
      </c>
      <c r="E18" s="12" t="s">
        <v>55</v>
      </c>
      <c r="F18" s="12" t="s">
        <v>24</v>
      </c>
      <c r="G18" s="10">
        <v>3736.01</v>
      </c>
      <c r="H18" s="10">
        <v>2591.86</v>
      </c>
      <c r="I18" s="10">
        <v>233500.33</v>
      </c>
      <c r="J18" s="62">
        <v>0.5</v>
      </c>
      <c r="L18" s="123" t="str">
        <f>E18</f>
        <v>HELOISA</v>
      </c>
      <c r="M18" s="123" t="s">
        <v>26</v>
      </c>
      <c r="N18" s="124">
        <f>SUM(I18:I19)</f>
        <v>700500.32</v>
      </c>
      <c r="O18" s="125">
        <f>SUM(J18:J19)</f>
        <v>1.5</v>
      </c>
    </row>
    <row r="19" spans="1:15">
      <c r="A19" s="15" t="s">
        <v>145</v>
      </c>
      <c r="B19" s="25" t="s">
        <v>85</v>
      </c>
      <c r="C19" s="39">
        <v>1913</v>
      </c>
      <c r="D19" s="9">
        <v>41413</v>
      </c>
      <c r="E19" s="12" t="s">
        <v>55</v>
      </c>
      <c r="F19" s="12" t="s">
        <v>24</v>
      </c>
      <c r="G19" s="10">
        <v>7472</v>
      </c>
      <c r="H19" s="10">
        <v>5183.7</v>
      </c>
      <c r="I19" s="10">
        <v>466999.99</v>
      </c>
      <c r="J19" s="62">
        <v>1</v>
      </c>
      <c r="L19" s="11"/>
      <c r="M19" s="11"/>
      <c r="N19" s="124"/>
      <c r="O19" s="125"/>
    </row>
    <row r="20" spans="1:15">
      <c r="A20" s="15" t="s">
        <v>270</v>
      </c>
      <c r="B20" s="25" t="s">
        <v>272</v>
      </c>
      <c r="C20" s="39">
        <v>31</v>
      </c>
      <c r="D20" s="9">
        <v>41451</v>
      </c>
      <c r="E20" s="12" t="s">
        <v>55</v>
      </c>
      <c r="F20" s="12" t="s">
        <v>24</v>
      </c>
      <c r="G20" s="10">
        <v>5225.7700000000004</v>
      </c>
      <c r="H20" s="10">
        <v>2645.55</v>
      </c>
      <c r="I20" s="10">
        <v>326610.53000000003</v>
      </c>
      <c r="J20" s="34">
        <v>0.5</v>
      </c>
      <c r="L20" s="123" t="str">
        <f>E20</f>
        <v>HELOISA</v>
      </c>
      <c r="M20" s="123" t="s">
        <v>27</v>
      </c>
      <c r="N20" s="124">
        <f>SUM(I20:I22)</f>
        <v>1031899.4099999999</v>
      </c>
      <c r="O20" s="125">
        <f>SUM(J20:J22)</f>
        <v>2</v>
      </c>
    </row>
    <row r="21" spans="1:15">
      <c r="A21" s="15" t="s">
        <v>270</v>
      </c>
      <c r="B21" s="25" t="s">
        <v>271</v>
      </c>
      <c r="C21" s="39">
        <v>32</v>
      </c>
      <c r="D21" s="9">
        <v>41452</v>
      </c>
      <c r="E21" s="12" t="s">
        <v>55</v>
      </c>
      <c r="F21" s="12" t="s">
        <v>24</v>
      </c>
      <c r="G21" s="10">
        <v>3559.53</v>
      </c>
      <c r="H21" s="10">
        <v>1802.01</v>
      </c>
      <c r="I21" s="10">
        <v>222470.45</v>
      </c>
      <c r="J21" s="34">
        <v>0.5</v>
      </c>
      <c r="L21" s="11"/>
      <c r="M21" s="11"/>
      <c r="N21" s="124"/>
      <c r="O21" s="125"/>
    </row>
    <row r="22" spans="1:15">
      <c r="A22" s="15" t="s">
        <v>270</v>
      </c>
      <c r="B22" s="25" t="s">
        <v>273</v>
      </c>
      <c r="C22" s="39">
        <v>87</v>
      </c>
      <c r="D22" s="9">
        <v>41451</v>
      </c>
      <c r="E22" s="12" t="s">
        <v>55</v>
      </c>
      <c r="F22" s="12" t="s">
        <v>24</v>
      </c>
      <c r="G22" s="10">
        <v>7725.09</v>
      </c>
      <c r="H22" s="10">
        <v>3910.83</v>
      </c>
      <c r="I22" s="10">
        <v>482818.43</v>
      </c>
      <c r="J22" s="34">
        <v>1</v>
      </c>
      <c r="L22" s="11"/>
      <c r="M22" s="11"/>
      <c r="N22" s="124"/>
      <c r="O22" s="125"/>
    </row>
    <row r="23" spans="1:15">
      <c r="A23" s="15" t="s">
        <v>81</v>
      </c>
      <c r="B23" s="25" t="s">
        <v>85</v>
      </c>
      <c r="C23" s="39">
        <v>101</v>
      </c>
      <c r="D23" s="9">
        <v>41453</v>
      </c>
      <c r="E23" s="12" t="s">
        <v>266</v>
      </c>
      <c r="F23" s="12" t="s">
        <v>24</v>
      </c>
      <c r="G23" s="10">
        <f>I23*2%</f>
        <v>10143.6</v>
      </c>
      <c r="H23" s="10">
        <f>12730.22-G23</f>
        <v>2586.619999999999</v>
      </c>
      <c r="I23" s="10">
        <v>507180</v>
      </c>
      <c r="J23" s="62">
        <v>1</v>
      </c>
      <c r="L23" s="123" t="str">
        <f>E23</f>
        <v>IDALICE</v>
      </c>
      <c r="M23" s="123" t="s">
        <v>61</v>
      </c>
      <c r="N23" s="124">
        <f>SUM(I23:I24)</f>
        <v>1024841</v>
      </c>
      <c r="O23" s="125">
        <f>SUM(J23:J24)</f>
        <v>2</v>
      </c>
    </row>
    <row r="24" spans="1:15">
      <c r="A24" s="15" t="s">
        <v>81</v>
      </c>
      <c r="B24" s="25" t="s">
        <v>85</v>
      </c>
      <c r="C24" s="39">
        <v>131</v>
      </c>
      <c r="D24" s="9">
        <v>41453</v>
      </c>
      <c r="E24" s="12" t="s">
        <v>266</v>
      </c>
      <c r="F24" s="12" t="s">
        <v>24</v>
      </c>
      <c r="G24" s="10">
        <f>I24*2%</f>
        <v>10353.219999999999</v>
      </c>
      <c r="H24" s="10">
        <f>13303.89-G24</f>
        <v>2950.67</v>
      </c>
      <c r="I24" s="10">
        <v>517661</v>
      </c>
      <c r="J24" s="62">
        <v>1</v>
      </c>
      <c r="L24" s="11"/>
      <c r="M24" s="11"/>
      <c r="N24" s="124"/>
      <c r="O24" s="125"/>
    </row>
    <row r="25" spans="1:15">
      <c r="A25" s="15" t="s">
        <v>53</v>
      </c>
      <c r="B25" s="25" t="s">
        <v>85</v>
      </c>
      <c r="C25" s="42">
        <v>44</v>
      </c>
      <c r="D25" s="9">
        <v>41394</v>
      </c>
      <c r="E25" s="12" t="s">
        <v>141</v>
      </c>
      <c r="F25" s="12" t="s">
        <v>24</v>
      </c>
      <c r="G25" s="10">
        <v>7840</v>
      </c>
      <c r="H25" s="10"/>
      <c r="I25" s="10">
        <v>490000</v>
      </c>
      <c r="J25" s="62">
        <v>1</v>
      </c>
      <c r="L25" s="123" t="str">
        <f>E25</f>
        <v>LIANY</v>
      </c>
      <c r="M25" s="123" t="s">
        <v>32</v>
      </c>
      <c r="N25" s="124">
        <f>SUM(I25:I26)</f>
        <v>519437.9</v>
      </c>
      <c r="O25" s="125">
        <f>SUM(J25:J26)</f>
        <v>2</v>
      </c>
    </row>
    <row r="26" spans="1:15">
      <c r="A26" s="15" t="s">
        <v>53</v>
      </c>
      <c r="B26" s="25" t="s">
        <v>201</v>
      </c>
      <c r="C26" s="42" t="s">
        <v>217</v>
      </c>
      <c r="D26" s="9">
        <v>41394</v>
      </c>
      <c r="E26" s="12" t="s">
        <v>141</v>
      </c>
      <c r="F26" s="12" t="s">
        <v>24</v>
      </c>
      <c r="G26" s="10">
        <v>471.01</v>
      </c>
      <c r="H26" s="10"/>
      <c r="I26" s="10">
        <v>29437.9</v>
      </c>
      <c r="J26" s="62">
        <v>1</v>
      </c>
      <c r="L26" s="11"/>
      <c r="M26" s="11"/>
      <c r="N26" s="124"/>
      <c r="O26" s="125"/>
    </row>
    <row r="27" spans="1:15">
      <c r="A27" s="15" t="s">
        <v>145</v>
      </c>
      <c r="B27" s="25" t="s">
        <v>85</v>
      </c>
      <c r="C27" s="39">
        <v>1601</v>
      </c>
      <c r="D27" s="9">
        <v>41411</v>
      </c>
      <c r="E27" s="12" t="s">
        <v>141</v>
      </c>
      <c r="F27" s="12" t="s">
        <v>24</v>
      </c>
      <c r="G27" s="10">
        <v>5973.28</v>
      </c>
      <c r="H27" s="10">
        <v>4143.97</v>
      </c>
      <c r="I27" s="10">
        <v>373330.3</v>
      </c>
      <c r="J27" s="62">
        <v>1</v>
      </c>
      <c r="L27" s="123" t="str">
        <f>E27</f>
        <v>LIANY</v>
      </c>
      <c r="M27" s="123" t="s">
        <v>61</v>
      </c>
      <c r="N27" s="124">
        <f>SUM(I27:I28)</f>
        <v>752260.84</v>
      </c>
      <c r="O27" s="125">
        <f>SUM(J27:J28)</f>
        <v>2</v>
      </c>
    </row>
    <row r="28" spans="1:15">
      <c r="A28" s="15" t="s">
        <v>145</v>
      </c>
      <c r="B28" s="25" t="s">
        <v>85</v>
      </c>
      <c r="C28" s="39">
        <v>2002</v>
      </c>
      <c r="D28" s="9">
        <v>41411</v>
      </c>
      <c r="E28" s="12" t="s">
        <v>141</v>
      </c>
      <c r="F28" s="12" t="s">
        <v>24</v>
      </c>
      <c r="G28" s="10">
        <v>6062.89</v>
      </c>
      <c r="H28" s="10">
        <v>4206.13</v>
      </c>
      <c r="I28" s="10">
        <v>378930.54</v>
      </c>
      <c r="J28" s="34">
        <v>1</v>
      </c>
      <c r="L28" s="11"/>
      <c r="M28" s="11"/>
      <c r="N28" s="124"/>
      <c r="O28" s="125"/>
    </row>
    <row r="29" spans="1:15">
      <c r="A29" s="15" t="s">
        <v>145</v>
      </c>
      <c r="B29" s="25" t="s">
        <v>85</v>
      </c>
      <c r="C29" s="39">
        <v>1713</v>
      </c>
      <c r="D29" s="9">
        <v>41413</v>
      </c>
      <c r="E29" s="12" t="s">
        <v>149</v>
      </c>
      <c r="F29" s="12" t="s">
        <v>24</v>
      </c>
      <c r="G29" s="10">
        <v>3736.01</v>
      </c>
      <c r="H29" s="10">
        <v>2591.86</v>
      </c>
      <c r="I29" s="10">
        <v>233500.33</v>
      </c>
      <c r="J29" s="62">
        <v>0.5</v>
      </c>
      <c r="L29" s="123" t="str">
        <f>E29</f>
        <v>LUCIA</v>
      </c>
      <c r="M29" s="123" t="s">
        <v>315</v>
      </c>
      <c r="N29" s="124">
        <f>SUM(I29:I36)</f>
        <v>7965308.6400000006</v>
      </c>
      <c r="O29" s="125">
        <f>SUM(J29:J36)</f>
        <v>17</v>
      </c>
    </row>
    <row r="30" spans="1:15">
      <c r="A30" s="15" t="s">
        <v>124</v>
      </c>
      <c r="B30" s="25" t="s">
        <v>85</v>
      </c>
      <c r="C30" s="42" t="s">
        <v>234</v>
      </c>
      <c r="D30" s="9">
        <v>41343</v>
      </c>
      <c r="E30" s="12" t="s">
        <v>196</v>
      </c>
      <c r="F30" s="12" t="s">
        <v>24</v>
      </c>
      <c r="G30" s="10">
        <v>160394.93</v>
      </c>
      <c r="H30" s="10"/>
      <c r="I30" s="10">
        <v>5918632.2400000002</v>
      </c>
      <c r="J30" s="62">
        <v>12</v>
      </c>
      <c r="L30" s="11"/>
      <c r="M30" s="11"/>
      <c r="N30" s="124"/>
      <c r="O30" s="125"/>
    </row>
    <row r="31" spans="1:15">
      <c r="A31" s="15" t="s">
        <v>53</v>
      </c>
      <c r="B31" s="25" t="s">
        <v>82</v>
      </c>
      <c r="C31" s="42">
        <v>52</v>
      </c>
      <c r="D31" s="9">
        <v>41376</v>
      </c>
      <c r="E31" s="12" t="s">
        <v>196</v>
      </c>
      <c r="F31" s="12" t="s">
        <v>24</v>
      </c>
      <c r="G31" s="10">
        <f>I31*1.6%</f>
        <v>9814.4</v>
      </c>
      <c r="H31" s="10"/>
      <c r="I31" s="10">
        <v>613400</v>
      </c>
      <c r="J31" s="62">
        <v>1</v>
      </c>
      <c r="L31" s="11"/>
      <c r="M31" s="11"/>
      <c r="N31" s="124"/>
      <c r="O31" s="125"/>
    </row>
    <row r="32" spans="1:15">
      <c r="A32" s="15" t="s">
        <v>195</v>
      </c>
      <c r="B32" s="25" t="s">
        <v>117</v>
      </c>
      <c r="C32" s="42">
        <v>44</v>
      </c>
      <c r="D32" s="9">
        <v>41417</v>
      </c>
      <c r="E32" s="12" t="s">
        <v>196</v>
      </c>
      <c r="F32" s="12" t="s">
        <v>24</v>
      </c>
      <c r="G32" s="10">
        <v>3216.44</v>
      </c>
      <c r="H32" s="10">
        <v>0</v>
      </c>
      <c r="I32" s="10">
        <v>95500</v>
      </c>
      <c r="J32" s="62">
        <v>0.5</v>
      </c>
      <c r="L32" s="11"/>
      <c r="M32" s="11"/>
      <c r="N32" s="124"/>
      <c r="O32" s="125"/>
    </row>
    <row r="33" spans="1:15">
      <c r="A33" s="15" t="s">
        <v>195</v>
      </c>
      <c r="B33" s="25" t="s">
        <v>136</v>
      </c>
      <c r="C33" s="42">
        <v>126</v>
      </c>
      <c r="D33" s="9">
        <v>41425</v>
      </c>
      <c r="E33" s="12" t="s">
        <v>196</v>
      </c>
      <c r="F33" s="12" t="s">
        <v>24</v>
      </c>
      <c r="G33" s="10">
        <v>2400</v>
      </c>
      <c r="H33" s="10">
        <v>0</v>
      </c>
      <c r="I33" s="10">
        <v>120000</v>
      </c>
      <c r="J33" s="62">
        <v>0.5</v>
      </c>
      <c r="L33" s="11"/>
      <c r="M33" s="11"/>
      <c r="N33" s="124"/>
      <c r="O33" s="125"/>
    </row>
    <row r="34" spans="1:15">
      <c r="A34" s="15" t="s">
        <v>145</v>
      </c>
      <c r="B34" s="25" t="s">
        <v>85</v>
      </c>
      <c r="C34" s="39">
        <v>1007</v>
      </c>
      <c r="D34" s="9">
        <v>41413</v>
      </c>
      <c r="E34" s="12" t="s">
        <v>196</v>
      </c>
      <c r="F34" s="12" t="s">
        <v>24</v>
      </c>
      <c r="G34" s="10">
        <v>5725.94</v>
      </c>
      <c r="H34" s="10">
        <v>3972.37</v>
      </c>
      <c r="I34" s="10">
        <v>357871.3</v>
      </c>
      <c r="J34" s="62">
        <v>1</v>
      </c>
      <c r="L34" s="11"/>
      <c r="M34" s="11"/>
      <c r="N34" s="124"/>
      <c r="O34" s="125"/>
    </row>
    <row r="35" spans="1:15">
      <c r="A35" s="15" t="s">
        <v>145</v>
      </c>
      <c r="B35" s="25" t="s">
        <v>85</v>
      </c>
      <c r="C35" s="39">
        <v>1306</v>
      </c>
      <c r="D35" s="9">
        <v>41414</v>
      </c>
      <c r="E35" s="12" t="s">
        <v>196</v>
      </c>
      <c r="F35" s="12" t="s">
        <v>24</v>
      </c>
      <c r="G35" s="10">
        <v>6127.68</v>
      </c>
      <c r="H35" s="10">
        <v>4251.08</v>
      </c>
      <c r="I35" s="10">
        <v>382979.77</v>
      </c>
      <c r="J35" s="62">
        <v>1</v>
      </c>
      <c r="L35" s="11"/>
      <c r="M35" s="11"/>
      <c r="N35" s="124"/>
      <c r="O35" s="125"/>
    </row>
    <row r="36" spans="1:15">
      <c r="A36" s="15" t="s">
        <v>270</v>
      </c>
      <c r="B36" s="25" t="s">
        <v>271</v>
      </c>
      <c r="C36" s="39">
        <v>2</v>
      </c>
      <c r="D36" s="9">
        <v>41455</v>
      </c>
      <c r="E36" s="12" t="s">
        <v>196</v>
      </c>
      <c r="F36" s="12" t="s">
        <v>24</v>
      </c>
      <c r="G36" s="10">
        <v>3894.8</v>
      </c>
      <c r="H36" s="10">
        <v>1971.74</v>
      </c>
      <c r="I36" s="10">
        <v>243425</v>
      </c>
      <c r="J36" s="34">
        <v>0.5</v>
      </c>
      <c r="L36" s="11"/>
      <c r="M36" s="11"/>
      <c r="N36" s="124"/>
      <c r="O36" s="125"/>
    </row>
    <row r="37" spans="1:15">
      <c r="A37" s="15" t="s">
        <v>57</v>
      </c>
      <c r="B37" s="25" t="s">
        <v>226</v>
      </c>
      <c r="C37" s="39">
        <v>185</v>
      </c>
      <c r="D37" s="12">
        <v>41287</v>
      </c>
      <c r="E37" s="12" t="s">
        <v>16</v>
      </c>
      <c r="F37" s="12" t="s">
        <v>24</v>
      </c>
      <c r="G37" s="10">
        <v>5220</v>
      </c>
      <c r="H37" s="10">
        <f>6551.1-G37</f>
        <v>1331.1000000000004</v>
      </c>
      <c r="I37" s="10">
        <v>261000</v>
      </c>
      <c r="J37" s="34">
        <v>1</v>
      </c>
      <c r="L37" s="123" t="str">
        <f>E37</f>
        <v>MATHEUS</v>
      </c>
      <c r="M37" s="123" t="s">
        <v>25</v>
      </c>
      <c r="N37" s="124">
        <f>SUM(I37:I42)</f>
        <v>1790918.96</v>
      </c>
      <c r="O37" s="125">
        <f>SUM(J37:J42)</f>
        <v>5.5</v>
      </c>
    </row>
    <row r="38" spans="1:15">
      <c r="A38" s="15" t="s">
        <v>57</v>
      </c>
      <c r="B38" s="25" t="s">
        <v>226</v>
      </c>
      <c r="C38" s="39">
        <v>113</v>
      </c>
      <c r="D38" s="12">
        <v>41298</v>
      </c>
      <c r="E38" s="12" t="s">
        <v>16</v>
      </c>
      <c r="F38" s="12" t="s">
        <v>24</v>
      </c>
      <c r="G38" s="10">
        <v>4822.46</v>
      </c>
      <c r="H38" s="10">
        <v>0</v>
      </c>
      <c r="I38" s="10">
        <v>241123</v>
      </c>
      <c r="J38" s="34">
        <v>1</v>
      </c>
      <c r="L38" s="11"/>
      <c r="M38" s="11"/>
      <c r="N38" s="124"/>
      <c r="O38" s="125"/>
    </row>
    <row r="39" spans="1:15">
      <c r="A39" s="15" t="s">
        <v>57</v>
      </c>
      <c r="B39" s="25" t="s">
        <v>88</v>
      </c>
      <c r="C39" s="42">
        <v>158</v>
      </c>
      <c r="D39" s="9">
        <v>41319</v>
      </c>
      <c r="E39" s="12" t="s">
        <v>16</v>
      </c>
      <c r="F39" s="12" t="s">
        <v>24</v>
      </c>
      <c r="G39" s="10">
        <f>I39*2%</f>
        <v>4400</v>
      </c>
      <c r="H39" s="10">
        <f>I39*1.11%</f>
        <v>2442</v>
      </c>
      <c r="I39" s="10">
        <v>220000</v>
      </c>
      <c r="J39" s="34">
        <v>1</v>
      </c>
      <c r="L39" s="11"/>
      <c r="M39" s="11"/>
      <c r="N39" s="124"/>
      <c r="O39" s="125"/>
    </row>
    <row r="40" spans="1:15">
      <c r="A40" s="15" t="s">
        <v>53</v>
      </c>
      <c r="B40" s="25" t="s">
        <v>225</v>
      </c>
      <c r="C40" s="42">
        <v>65</v>
      </c>
      <c r="D40" s="9">
        <v>41350</v>
      </c>
      <c r="E40" s="12" t="s">
        <v>60</v>
      </c>
      <c r="F40" s="12" t="s">
        <v>24</v>
      </c>
      <c r="G40" s="10">
        <f>I40*1.6%</f>
        <v>8080</v>
      </c>
      <c r="H40" s="10"/>
      <c r="I40" s="10">
        <v>505000</v>
      </c>
      <c r="J40" s="34">
        <v>1</v>
      </c>
      <c r="L40" s="11"/>
      <c r="M40" s="11"/>
      <c r="N40" s="124"/>
      <c r="O40" s="125"/>
    </row>
    <row r="41" spans="1:15">
      <c r="A41" s="15" t="s">
        <v>145</v>
      </c>
      <c r="B41" s="25" t="s">
        <v>85</v>
      </c>
      <c r="C41" s="39">
        <v>1401</v>
      </c>
      <c r="D41" s="9">
        <v>41407</v>
      </c>
      <c r="E41" s="12" t="s">
        <v>60</v>
      </c>
      <c r="F41" s="12" t="s">
        <v>24</v>
      </c>
      <c r="G41" s="10">
        <v>5921.86</v>
      </c>
      <c r="H41" s="10">
        <v>4108.29</v>
      </c>
      <c r="I41" s="10">
        <v>370115.96</v>
      </c>
      <c r="J41" s="62">
        <v>1</v>
      </c>
      <c r="L41" s="11"/>
      <c r="M41" s="11"/>
      <c r="N41" s="124"/>
      <c r="O41" s="125"/>
    </row>
    <row r="42" spans="1:15">
      <c r="A42" s="15" t="s">
        <v>124</v>
      </c>
      <c r="B42" s="25" t="s">
        <v>85</v>
      </c>
      <c r="C42" s="42">
        <v>312</v>
      </c>
      <c r="D42" s="9">
        <v>41343</v>
      </c>
      <c r="E42" s="12" t="s">
        <v>257</v>
      </c>
      <c r="F42" s="12" t="s">
        <v>24</v>
      </c>
      <c r="G42" s="10">
        <v>5248.73</v>
      </c>
      <c r="H42" s="10"/>
      <c r="I42" s="10">
        <v>193680</v>
      </c>
      <c r="J42" s="62">
        <v>0.5</v>
      </c>
      <c r="L42" s="11"/>
      <c r="M42" s="11"/>
      <c r="N42" s="124"/>
      <c r="O42" s="125"/>
    </row>
    <row r="43" spans="1:15">
      <c r="A43" s="15" t="s">
        <v>145</v>
      </c>
      <c r="B43" s="25" t="s">
        <v>85</v>
      </c>
      <c r="C43" s="42">
        <v>516</v>
      </c>
      <c r="D43" s="9">
        <v>41425</v>
      </c>
      <c r="E43" s="12" t="s">
        <v>172</v>
      </c>
      <c r="F43" s="12" t="s">
        <v>24</v>
      </c>
      <c r="G43" s="10">
        <v>6114.01</v>
      </c>
      <c r="H43" s="10">
        <v>4241.6000000000004</v>
      </c>
      <c r="I43" s="10">
        <v>382125.78</v>
      </c>
      <c r="J43" s="62">
        <v>1</v>
      </c>
      <c r="L43" s="123" t="str">
        <f>E43</f>
        <v>OLAVO</v>
      </c>
      <c r="M43" s="123" t="s">
        <v>25</v>
      </c>
      <c r="N43" s="124">
        <f>SUM(I43:I46)</f>
        <v>1634908.04</v>
      </c>
      <c r="O43" s="125">
        <f>SUM(J43:J46)</f>
        <v>4</v>
      </c>
    </row>
    <row r="44" spans="1:15">
      <c r="A44" s="15" t="s">
        <v>145</v>
      </c>
      <c r="B44" s="25" t="s">
        <v>85</v>
      </c>
      <c r="C44" s="42">
        <v>903</v>
      </c>
      <c r="D44" s="9">
        <v>41413</v>
      </c>
      <c r="E44" s="12" t="s">
        <v>172</v>
      </c>
      <c r="F44" s="12" t="s">
        <v>24</v>
      </c>
      <c r="G44" s="10">
        <v>5894.4</v>
      </c>
      <c r="H44" s="10">
        <v>4089.24</v>
      </c>
      <c r="I44" s="10">
        <v>368400</v>
      </c>
      <c r="J44" s="62">
        <v>1</v>
      </c>
      <c r="L44" s="11"/>
      <c r="M44" s="11"/>
      <c r="N44" s="124"/>
      <c r="O44" s="125"/>
    </row>
    <row r="45" spans="1:15">
      <c r="A45" s="15" t="s">
        <v>145</v>
      </c>
      <c r="B45" s="25" t="s">
        <v>85</v>
      </c>
      <c r="C45" s="42">
        <v>515</v>
      </c>
      <c r="D45" s="9">
        <v>41424</v>
      </c>
      <c r="E45" s="12" t="s">
        <v>172</v>
      </c>
      <c r="F45" s="12" t="s">
        <v>24</v>
      </c>
      <c r="G45" s="10">
        <v>6114.01</v>
      </c>
      <c r="H45" s="10">
        <v>4241.6000000000004</v>
      </c>
      <c r="I45" s="10">
        <v>382125.78</v>
      </c>
      <c r="J45" s="62">
        <v>1</v>
      </c>
      <c r="L45" s="11"/>
      <c r="M45" s="11"/>
      <c r="N45" s="124"/>
      <c r="O45" s="125"/>
    </row>
    <row r="46" spans="1:15">
      <c r="A46" s="15" t="s">
        <v>120</v>
      </c>
      <c r="B46" s="25" t="s">
        <v>113</v>
      </c>
      <c r="C46" s="39">
        <v>78</v>
      </c>
      <c r="D46" s="12">
        <v>41329</v>
      </c>
      <c r="E46" s="12" t="s">
        <v>50</v>
      </c>
      <c r="F46" s="12" t="s">
        <v>24</v>
      </c>
      <c r="G46" s="10">
        <v>8036.1</v>
      </c>
      <c r="H46" s="10">
        <v>0</v>
      </c>
      <c r="I46" s="10">
        <v>502256.48</v>
      </c>
      <c r="J46" s="34">
        <v>1</v>
      </c>
      <c r="L46" s="11"/>
      <c r="M46" s="11"/>
      <c r="N46" s="124"/>
      <c r="O46" s="125"/>
    </row>
    <row r="47" spans="1:15">
      <c r="A47" s="15" t="s">
        <v>53</v>
      </c>
      <c r="B47" s="25" t="s">
        <v>201</v>
      </c>
      <c r="C47" s="42" t="s">
        <v>238</v>
      </c>
      <c r="D47" s="9">
        <v>41336</v>
      </c>
      <c r="E47" s="12" t="s">
        <v>50</v>
      </c>
      <c r="F47" s="12" t="s">
        <v>24</v>
      </c>
      <c r="G47" s="10">
        <f>I47*1.6%</f>
        <v>503.08800000000002</v>
      </c>
      <c r="H47" s="10"/>
      <c r="I47" s="10">
        <v>31443</v>
      </c>
      <c r="J47" s="34">
        <v>1</v>
      </c>
      <c r="L47" s="123" t="str">
        <f>E47</f>
        <v>SARAIVA</v>
      </c>
      <c r="M47" s="123" t="s">
        <v>79</v>
      </c>
      <c r="N47" s="124">
        <f>SUM(I47:I48)</f>
        <v>414107.01</v>
      </c>
      <c r="O47" s="125">
        <f>SUM(J47:J48)</f>
        <v>2</v>
      </c>
    </row>
    <row r="48" spans="1:15">
      <c r="A48" s="15" t="s">
        <v>145</v>
      </c>
      <c r="B48" s="25" t="s">
        <v>85</v>
      </c>
      <c r="C48" s="39">
        <v>1402</v>
      </c>
      <c r="D48" s="9">
        <v>41413</v>
      </c>
      <c r="E48" s="12" t="s">
        <v>50</v>
      </c>
      <c r="F48" s="12" t="s">
        <v>24</v>
      </c>
      <c r="G48" s="10">
        <v>6122.62</v>
      </c>
      <c r="H48" s="10">
        <v>4247.57</v>
      </c>
      <c r="I48" s="10">
        <v>382664.01</v>
      </c>
      <c r="J48" s="62">
        <v>1</v>
      </c>
      <c r="L48" s="11"/>
      <c r="M48" s="11"/>
      <c r="N48" s="124"/>
      <c r="O48" s="125"/>
    </row>
    <row r="49" spans="1:15">
      <c r="A49" s="15" t="s">
        <v>124</v>
      </c>
      <c r="B49" s="25" t="s">
        <v>85</v>
      </c>
      <c r="C49" s="42" t="s">
        <v>240</v>
      </c>
      <c r="D49" s="9">
        <v>41343</v>
      </c>
      <c r="E49" s="12" t="s">
        <v>312</v>
      </c>
      <c r="F49" s="12" t="s">
        <v>24</v>
      </c>
      <c r="G49" s="10">
        <v>38995.24</v>
      </c>
      <c r="H49" s="10"/>
      <c r="I49" s="10">
        <v>1438921</v>
      </c>
      <c r="J49" s="62">
        <v>3</v>
      </c>
      <c r="L49" s="123" t="str">
        <f>E49</f>
        <v>TATYANA</v>
      </c>
      <c r="M49" s="123" t="s">
        <v>25</v>
      </c>
      <c r="N49" s="124">
        <f>SUM(I49:I61)</f>
        <v>6618066.6600000001</v>
      </c>
      <c r="O49" s="125">
        <f>SUM(J49:J61)</f>
        <v>14.5</v>
      </c>
    </row>
    <row r="50" spans="1:15">
      <c r="A50" s="15" t="s">
        <v>195</v>
      </c>
      <c r="B50" s="25" t="s">
        <v>117</v>
      </c>
      <c r="C50" s="42">
        <v>44</v>
      </c>
      <c r="D50" s="9">
        <v>41417</v>
      </c>
      <c r="E50" s="12" t="s">
        <v>200</v>
      </c>
      <c r="F50" s="12" t="s">
        <v>24</v>
      </c>
      <c r="G50" s="10">
        <v>3216.44</v>
      </c>
      <c r="H50" s="10">
        <v>0</v>
      </c>
      <c r="I50" s="10">
        <v>95500</v>
      </c>
      <c r="J50" s="62">
        <v>0.5</v>
      </c>
      <c r="L50" s="11"/>
      <c r="M50" s="11"/>
      <c r="N50" s="124"/>
      <c r="O50" s="125"/>
    </row>
    <row r="51" spans="1:15">
      <c r="A51" s="15" t="s">
        <v>191</v>
      </c>
      <c r="B51" s="25" t="s">
        <v>136</v>
      </c>
      <c r="C51" s="42">
        <v>126</v>
      </c>
      <c r="D51" s="9">
        <v>41425</v>
      </c>
      <c r="E51" s="12" t="s">
        <v>200</v>
      </c>
      <c r="F51" s="12" t="s">
        <v>24</v>
      </c>
      <c r="G51" s="10">
        <v>2400</v>
      </c>
      <c r="H51" s="10">
        <v>0</v>
      </c>
      <c r="I51" s="10">
        <v>120000</v>
      </c>
      <c r="J51" s="62">
        <v>0.5</v>
      </c>
      <c r="L51" s="11"/>
      <c r="M51" s="11"/>
      <c r="N51" s="124"/>
      <c r="O51" s="125"/>
    </row>
    <row r="52" spans="1:15">
      <c r="A52" s="15" t="s">
        <v>209</v>
      </c>
      <c r="B52" s="25" t="s">
        <v>215</v>
      </c>
      <c r="C52" s="42">
        <v>144</v>
      </c>
      <c r="D52" s="9">
        <v>41390</v>
      </c>
      <c r="E52" s="12" t="s">
        <v>106</v>
      </c>
      <c r="F52" s="12" t="s">
        <v>24</v>
      </c>
      <c r="G52" s="10">
        <v>4000</v>
      </c>
      <c r="H52" s="10"/>
      <c r="I52" s="10">
        <v>200000</v>
      </c>
      <c r="J52" s="62">
        <v>1</v>
      </c>
      <c r="L52" s="11"/>
      <c r="M52" s="11"/>
      <c r="N52" s="124"/>
      <c r="O52" s="125"/>
    </row>
    <row r="53" spans="1:15">
      <c r="A53" s="15" t="s">
        <v>208</v>
      </c>
      <c r="B53" s="25" t="s">
        <v>226</v>
      </c>
      <c r="C53" s="39">
        <v>163</v>
      </c>
      <c r="D53" s="9">
        <v>41448</v>
      </c>
      <c r="E53" s="12" t="s">
        <v>262</v>
      </c>
      <c r="F53" s="12" t="s">
        <v>24</v>
      </c>
      <c r="G53" s="10">
        <v>4836.8</v>
      </c>
      <c r="H53" s="10">
        <v>0</v>
      </c>
      <c r="I53" s="10">
        <v>241840</v>
      </c>
      <c r="J53" s="62">
        <v>1</v>
      </c>
      <c r="L53" s="11"/>
      <c r="M53" s="11"/>
      <c r="N53" s="124"/>
      <c r="O53" s="125"/>
    </row>
    <row r="54" spans="1:15">
      <c r="A54" s="15" t="s">
        <v>124</v>
      </c>
      <c r="B54" s="25" t="s">
        <v>85</v>
      </c>
      <c r="C54" s="42" t="s">
        <v>241</v>
      </c>
      <c r="D54" s="9">
        <v>41343</v>
      </c>
      <c r="E54" s="12" t="s">
        <v>72</v>
      </c>
      <c r="F54" s="12" t="s">
        <v>24</v>
      </c>
      <c r="G54" s="10">
        <f>13236.32+13236.32</f>
        <v>26472.639999999999</v>
      </c>
      <c r="H54" s="10"/>
      <c r="I54" s="10">
        <f>488425+488425</f>
        <v>976850</v>
      </c>
      <c r="J54" s="62">
        <v>2</v>
      </c>
      <c r="L54" s="11"/>
      <c r="M54" s="11"/>
      <c r="N54" s="124"/>
      <c r="O54" s="125"/>
    </row>
    <row r="55" spans="1:15">
      <c r="A55" s="15" t="s">
        <v>145</v>
      </c>
      <c r="B55" s="25" t="s">
        <v>85</v>
      </c>
      <c r="C55" s="39">
        <v>1005</v>
      </c>
      <c r="D55" s="9">
        <v>41406</v>
      </c>
      <c r="E55" s="12" t="s">
        <v>72</v>
      </c>
      <c r="F55" s="12" t="s">
        <v>24</v>
      </c>
      <c r="G55" s="10">
        <v>10175.200000000001</v>
      </c>
      <c r="H55" s="10">
        <v>7059.05</v>
      </c>
      <c r="I55" s="10">
        <v>635950</v>
      </c>
      <c r="J55" s="62">
        <v>1</v>
      </c>
      <c r="L55" s="11"/>
      <c r="M55" s="11"/>
      <c r="N55" s="124"/>
      <c r="O55" s="125"/>
    </row>
    <row r="56" spans="1:15">
      <c r="A56" s="15" t="s">
        <v>111</v>
      </c>
      <c r="B56" s="25" t="s">
        <v>112</v>
      </c>
      <c r="C56" s="39">
        <v>171</v>
      </c>
      <c r="D56" s="9">
        <v>41298</v>
      </c>
      <c r="E56" s="12" t="s">
        <v>34</v>
      </c>
      <c r="F56" s="12" t="s">
        <v>24</v>
      </c>
      <c r="G56" s="10">
        <v>16600</v>
      </c>
      <c r="H56" s="10">
        <v>0</v>
      </c>
      <c r="I56" s="10">
        <v>830000.22</v>
      </c>
      <c r="J56" s="34">
        <v>1</v>
      </c>
      <c r="L56" s="11"/>
      <c r="M56" s="11"/>
      <c r="N56" s="124"/>
      <c r="O56" s="125"/>
    </row>
    <row r="57" spans="1:15">
      <c r="A57" s="15" t="s">
        <v>191</v>
      </c>
      <c r="B57" s="25" t="s">
        <v>117</v>
      </c>
      <c r="C57" s="39">
        <v>131</v>
      </c>
      <c r="D57" s="9">
        <v>41444</v>
      </c>
      <c r="E57" s="12" t="s">
        <v>34</v>
      </c>
      <c r="F57" s="12" t="s">
        <v>24</v>
      </c>
      <c r="G57" s="10">
        <v>4560</v>
      </c>
      <c r="H57" s="10">
        <v>0</v>
      </c>
      <c r="I57" s="10">
        <v>228000</v>
      </c>
      <c r="J57" s="62">
        <v>1</v>
      </c>
      <c r="L57" s="11"/>
      <c r="M57" s="11"/>
      <c r="N57" s="124"/>
      <c r="O57" s="125"/>
    </row>
    <row r="58" spans="1:15">
      <c r="A58" s="15" t="s">
        <v>111</v>
      </c>
      <c r="B58" s="25" t="s">
        <v>112</v>
      </c>
      <c r="C58" s="42">
        <v>191</v>
      </c>
      <c r="D58" s="9">
        <v>41402</v>
      </c>
      <c r="E58" s="12" t="s">
        <v>203</v>
      </c>
      <c r="F58" s="12" t="s">
        <v>24</v>
      </c>
      <c r="G58" s="10">
        <f>I58*2%</f>
        <v>17600</v>
      </c>
      <c r="H58" s="10">
        <v>0</v>
      </c>
      <c r="I58" s="10">
        <v>880000</v>
      </c>
      <c r="J58" s="62">
        <v>1</v>
      </c>
      <c r="L58" s="11"/>
      <c r="M58" s="11"/>
      <c r="N58" s="124"/>
      <c r="O58" s="125"/>
    </row>
    <row r="59" spans="1:15">
      <c r="A59" s="15" t="s">
        <v>145</v>
      </c>
      <c r="B59" s="25" t="s">
        <v>85</v>
      </c>
      <c r="C59" s="39">
        <v>2114</v>
      </c>
      <c r="D59" s="9">
        <v>41407</v>
      </c>
      <c r="E59" s="12" t="s">
        <v>203</v>
      </c>
      <c r="F59" s="12" t="s">
        <v>24</v>
      </c>
      <c r="G59" s="10">
        <v>6333.85</v>
      </c>
      <c r="H59" s="10">
        <v>4394.1099999999997</v>
      </c>
      <c r="I59" s="10">
        <v>395865.44</v>
      </c>
      <c r="J59" s="62">
        <v>1</v>
      </c>
      <c r="L59" s="11"/>
      <c r="M59" s="11"/>
      <c r="N59" s="124"/>
      <c r="O59" s="125"/>
    </row>
    <row r="60" spans="1:15">
      <c r="A60" s="15" t="s">
        <v>145</v>
      </c>
      <c r="B60" s="25" t="s">
        <v>85</v>
      </c>
      <c r="C60" s="39">
        <v>1411</v>
      </c>
      <c r="D60" s="9">
        <v>41407</v>
      </c>
      <c r="E60" s="12" t="s">
        <v>152</v>
      </c>
      <c r="F60" s="12" t="s">
        <v>61</v>
      </c>
      <c r="G60" s="10">
        <v>5935.04</v>
      </c>
      <c r="H60" s="10">
        <v>2848.82</v>
      </c>
      <c r="I60" s="10">
        <v>370940</v>
      </c>
      <c r="J60" s="62">
        <v>1</v>
      </c>
      <c r="L60" s="11"/>
      <c r="M60" s="11"/>
      <c r="N60" s="124"/>
      <c r="O60" s="125"/>
    </row>
    <row r="61" spans="1:15">
      <c r="A61" s="15" t="s">
        <v>146</v>
      </c>
      <c r="B61" s="25" t="s">
        <v>85</v>
      </c>
      <c r="C61" s="42">
        <v>2610</v>
      </c>
      <c r="D61" s="9">
        <v>41430</v>
      </c>
      <c r="E61" s="12" t="s">
        <v>152</v>
      </c>
      <c r="F61" s="12" t="s">
        <v>61</v>
      </c>
      <c r="G61" s="10">
        <v>3267.2</v>
      </c>
      <c r="H61" s="10">
        <v>1188.44</v>
      </c>
      <c r="I61" s="10">
        <v>204200</v>
      </c>
      <c r="J61" s="62">
        <v>0.5</v>
      </c>
      <c r="L61" s="11"/>
      <c r="M61" s="11"/>
      <c r="N61" s="124"/>
      <c r="O61" s="125"/>
    </row>
    <row r="62" spans="1:15">
      <c r="A62" s="15" t="s">
        <v>145</v>
      </c>
      <c r="B62" s="25" t="s">
        <v>85</v>
      </c>
      <c r="C62" s="42">
        <v>1315</v>
      </c>
      <c r="D62" s="9">
        <v>41425</v>
      </c>
      <c r="E62" s="12" t="s">
        <v>179</v>
      </c>
      <c r="F62" s="12" t="s">
        <v>61</v>
      </c>
      <c r="G62" s="10">
        <v>5280</v>
      </c>
      <c r="H62" s="10">
        <v>3663</v>
      </c>
      <c r="I62" s="10">
        <v>330000</v>
      </c>
      <c r="J62" s="62">
        <v>1</v>
      </c>
      <c r="L62" s="123" t="str">
        <f>E62</f>
        <v>BENTO</v>
      </c>
      <c r="M62" s="123" t="s">
        <v>79</v>
      </c>
      <c r="N62" s="124">
        <f>SUM(I62:I70)</f>
        <v>3633497.42</v>
      </c>
      <c r="O62" s="125">
        <f>SUM(J62:J70)</f>
        <v>7.5</v>
      </c>
    </row>
    <row r="63" spans="1:15">
      <c r="A63" s="15" t="s">
        <v>145</v>
      </c>
      <c r="B63" s="25" t="s">
        <v>85</v>
      </c>
      <c r="C63" s="39">
        <v>815</v>
      </c>
      <c r="D63" s="12">
        <v>41455</v>
      </c>
      <c r="E63" s="12" t="s">
        <v>179</v>
      </c>
      <c r="F63" s="12" t="s">
        <v>61</v>
      </c>
      <c r="G63" s="10">
        <v>6102.4</v>
      </c>
      <c r="H63" s="10">
        <v>3592.79</v>
      </c>
      <c r="I63" s="10">
        <v>381400</v>
      </c>
      <c r="J63" s="62">
        <v>1</v>
      </c>
      <c r="L63" s="11"/>
      <c r="M63" s="11"/>
      <c r="N63" s="124"/>
      <c r="O63" s="125"/>
    </row>
    <row r="64" spans="1:15">
      <c r="A64" s="15" t="s">
        <v>270</v>
      </c>
      <c r="B64" s="25" t="s">
        <v>273</v>
      </c>
      <c r="C64" s="42">
        <v>26</v>
      </c>
      <c r="D64" s="9">
        <v>41451</v>
      </c>
      <c r="E64" s="12" t="s">
        <v>285</v>
      </c>
      <c r="F64" s="12" t="s">
        <v>61</v>
      </c>
      <c r="G64" s="10">
        <v>3605</v>
      </c>
      <c r="H64" s="10">
        <v>1825.03</v>
      </c>
      <c r="I64" s="10">
        <v>225312.27</v>
      </c>
      <c r="J64" s="62">
        <v>0.5</v>
      </c>
      <c r="L64" s="11"/>
      <c r="M64" s="11"/>
      <c r="N64" s="124"/>
      <c r="O64" s="125"/>
    </row>
    <row r="65" spans="1:15">
      <c r="A65" s="15" t="s">
        <v>270</v>
      </c>
      <c r="B65" s="25" t="s">
        <v>273</v>
      </c>
      <c r="C65" s="42">
        <v>48</v>
      </c>
      <c r="D65" s="9">
        <v>41450</v>
      </c>
      <c r="E65" s="12" t="s">
        <v>287</v>
      </c>
      <c r="F65" s="12" t="s">
        <v>61</v>
      </c>
      <c r="G65" s="10">
        <v>3072.84</v>
      </c>
      <c r="H65" s="10">
        <v>1555.62</v>
      </c>
      <c r="I65" s="10">
        <v>192052.43</v>
      </c>
      <c r="J65" s="62">
        <v>0.5</v>
      </c>
      <c r="L65" s="11"/>
      <c r="M65" s="11"/>
      <c r="N65" s="124"/>
      <c r="O65" s="125"/>
    </row>
    <row r="66" spans="1:15">
      <c r="A66" s="15" t="s">
        <v>270</v>
      </c>
      <c r="B66" s="25" t="s">
        <v>273</v>
      </c>
      <c r="C66" s="42">
        <v>28</v>
      </c>
      <c r="D66" s="9">
        <v>41450</v>
      </c>
      <c r="E66" s="12" t="s">
        <v>287</v>
      </c>
      <c r="F66" s="12" t="s">
        <v>61</v>
      </c>
      <c r="G66" s="10">
        <v>3011.69</v>
      </c>
      <c r="H66" s="10">
        <v>1524.67</v>
      </c>
      <c r="I66" s="10">
        <v>188230.72</v>
      </c>
      <c r="J66" s="62">
        <v>0.5</v>
      </c>
      <c r="L66" s="11"/>
      <c r="M66" s="11"/>
      <c r="N66" s="124"/>
      <c r="O66" s="125"/>
    </row>
    <row r="67" spans="1:15">
      <c r="A67" s="15" t="s">
        <v>208</v>
      </c>
      <c r="B67" s="25" t="s">
        <v>88</v>
      </c>
      <c r="C67" s="42">
        <v>182</v>
      </c>
      <c r="D67" s="9">
        <v>41394</v>
      </c>
      <c r="E67" s="12" t="s">
        <v>216</v>
      </c>
      <c r="F67" s="12" t="s">
        <v>61</v>
      </c>
      <c r="G67" s="10">
        <v>8235.2800000000007</v>
      </c>
      <c r="H67" s="10"/>
      <c r="I67" s="10">
        <v>264800</v>
      </c>
      <c r="J67" s="62">
        <v>1</v>
      </c>
      <c r="L67" s="11"/>
      <c r="M67" s="11"/>
      <c r="N67" s="124"/>
      <c r="O67" s="125"/>
    </row>
    <row r="68" spans="1:15">
      <c r="A68" s="15" t="s">
        <v>270</v>
      </c>
      <c r="B68" s="25" t="s">
        <v>271</v>
      </c>
      <c r="C68" s="42">
        <v>18</v>
      </c>
      <c r="D68" s="9">
        <v>41455</v>
      </c>
      <c r="E68" s="12" t="s">
        <v>291</v>
      </c>
      <c r="F68" s="12" t="s">
        <v>61</v>
      </c>
      <c r="G68" s="10">
        <v>6011.23</v>
      </c>
      <c r="H68" s="10">
        <v>3043.19</v>
      </c>
      <c r="I68" s="10">
        <v>375702</v>
      </c>
      <c r="J68" s="62">
        <v>1</v>
      </c>
      <c r="L68" s="11"/>
      <c r="M68" s="11"/>
      <c r="N68" s="124"/>
      <c r="O68" s="125"/>
    </row>
    <row r="69" spans="1:15">
      <c r="A69" s="15" t="s">
        <v>54</v>
      </c>
      <c r="B69" s="25" t="s">
        <v>58</v>
      </c>
      <c r="C69" s="42">
        <v>184</v>
      </c>
      <c r="D69" s="9">
        <v>41348</v>
      </c>
      <c r="E69" s="12" t="s">
        <v>40</v>
      </c>
      <c r="F69" s="12" t="s">
        <v>61</v>
      </c>
      <c r="G69" s="10">
        <f>I69*2%</f>
        <v>17520</v>
      </c>
      <c r="H69" s="10"/>
      <c r="I69" s="10">
        <v>876000</v>
      </c>
      <c r="J69" s="34">
        <v>1</v>
      </c>
      <c r="L69" s="11"/>
      <c r="M69" s="11"/>
      <c r="N69" s="124"/>
      <c r="O69" s="125"/>
    </row>
    <row r="70" spans="1:15">
      <c r="A70" s="15" t="s">
        <v>54</v>
      </c>
      <c r="B70" s="25" t="s">
        <v>121</v>
      </c>
      <c r="C70" s="42">
        <v>141</v>
      </c>
      <c r="D70" s="9">
        <v>41361</v>
      </c>
      <c r="E70" s="12" t="s">
        <v>40</v>
      </c>
      <c r="F70" s="12" t="s">
        <v>61</v>
      </c>
      <c r="G70" s="10">
        <f>I70*2%</f>
        <v>16000</v>
      </c>
      <c r="H70" s="10"/>
      <c r="I70" s="10">
        <v>800000</v>
      </c>
      <c r="J70" s="34">
        <v>1</v>
      </c>
      <c r="L70" s="11"/>
      <c r="M70" s="11"/>
      <c r="N70" s="124"/>
      <c r="O70" s="125"/>
    </row>
    <row r="71" spans="1:15">
      <c r="A71" s="15" t="s">
        <v>54</v>
      </c>
      <c r="B71" s="25" t="s">
        <v>58</v>
      </c>
      <c r="C71" s="39">
        <v>201</v>
      </c>
      <c r="D71" s="9">
        <v>41387</v>
      </c>
      <c r="E71" s="12" t="s">
        <v>192</v>
      </c>
      <c r="F71" s="12" t="s">
        <v>61</v>
      </c>
      <c r="G71" s="10">
        <v>17600</v>
      </c>
      <c r="H71" s="10"/>
      <c r="I71" s="10">
        <v>880000</v>
      </c>
      <c r="J71" s="62">
        <v>1</v>
      </c>
      <c r="L71" s="123" t="str">
        <f>E71</f>
        <v xml:space="preserve">FARIA </v>
      </c>
      <c r="M71" s="123" t="s">
        <v>79</v>
      </c>
      <c r="N71" s="124">
        <f>I71</f>
        <v>880000</v>
      </c>
      <c r="O71" s="125">
        <v>0.5</v>
      </c>
    </row>
    <row r="72" spans="1:15">
      <c r="A72" s="15" t="s">
        <v>111</v>
      </c>
      <c r="B72" s="25" t="s">
        <v>112</v>
      </c>
      <c r="C72" s="42">
        <v>211</v>
      </c>
      <c r="D72" s="9">
        <v>41396</v>
      </c>
      <c r="E72" s="12" t="s">
        <v>192</v>
      </c>
      <c r="F72" s="12" t="s">
        <v>61</v>
      </c>
      <c r="G72" s="10">
        <f>I72*2%</f>
        <v>17000</v>
      </c>
      <c r="H72" s="10">
        <v>0</v>
      </c>
      <c r="I72" s="10">
        <f>850000</f>
        <v>850000</v>
      </c>
      <c r="J72" s="62">
        <v>1</v>
      </c>
      <c r="L72" s="123" t="str">
        <f>E72</f>
        <v xml:space="preserve">FARIA </v>
      </c>
      <c r="M72" s="123" t="s">
        <v>26</v>
      </c>
      <c r="N72" s="124">
        <f>SUM(I72:I73)</f>
        <v>1700000</v>
      </c>
      <c r="O72" s="125">
        <f>SUM(J72:J73)</f>
        <v>2</v>
      </c>
    </row>
    <row r="73" spans="1:15">
      <c r="A73" s="15" t="s">
        <v>111</v>
      </c>
      <c r="B73" s="25" t="s">
        <v>112</v>
      </c>
      <c r="C73" s="42">
        <v>211</v>
      </c>
      <c r="D73" s="9">
        <v>41396</v>
      </c>
      <c r="E73" s="12" t="s">
        <v>192</v>
      </c>
      <c r="F73" s="12" t="s">
        <v>61</v>
      </c>
      <c r="G73" s="90">
        <f>I73*2%</f>
        <v>17000</v>
      </c>
      <c r="H73" s="10">
        <v>0</v>
      </c>
      <c r="I73" s="10">
        <f>850000</f>
        <v>850000</v>
      </c>
      <c r="J73" s="62">
        <v>1</v>
      </c>
      <c r="L73" s="11"/>
      <c r="M73" s="11"/>
      <c r="N73" s="124"/>
      <c r="O73" s="125"/>
    </row>
    <row r="74" spans="1:15">
      <c r="A74" s="15" t="s">
        <v>145</v>
      </c>
      <c r="B74" s="25" t="s">
        <v>85</v>
      </c>
      <c r="C74" s="42">
        <v>311</v>
      </c>
      <c r="D74" s="9">
        <v>41417</v>
      </c>
      <c r="E74" s="12" t="s">
        <v>153</v>
      </c>
      <c r="F74" s="12" t="s">
        <v>61</v>
      </c>
      <c r="G74" s="10">
        <v>3199.8</v>
      </c>
      <c r="H74" s="10">
        <v>2219.86</v>
      </c>
      <c r="I74" s="10">
        <v>145000</v>
      </c>
      <c r="J74" s="62">
        <v>0.5</v>
      </c>
      <c r="L74" s="123" t="str">
        <f>E74</f>
        <v>GLASER</v>
      </c>
      <c r="M74" s="123" t="s">
        <v>27</v>
      </c>
      <c r="N74" s="124">
        <f>SUM(I74:I77)</f>
        <v>1212615.32</v>
      </c>
      <c r="O74" s="125">
        <f>SUM(J74:J77)</f>
        <v>3</v>
      </c>
    </row>
    <row r="75" spans="1:15">
      <c r="A75" s="15" t="s">
        <v>145</v>
      </c>
      <c r="B75" s="25" t="s">
        <v>85</v>
      </c>
      <c r="C75" s="39">
        <v>1009</v>
      </c>
      <c r="D75" s="9">
        <v>41413</v>
      </c>
      <c r="E75" s="12" t="s">
        <v>153</v>
      </c>
      <c r="F75" s="12" t="s">
        <v>61</v>
      </c>
      <c r="G75" s="10">
        <v>7511.54</v>
      </c>
      <c r="H75" s="10">
        <v>5211.13</v>
      </c>
      <c r="I75" s="10">
        <v>469471.28</v>
      </c>
      <c r="J75" s="62">
        <v>1</v>
      </c>
      <c r="L75" s="11"/>
      <c r="M75" s="11"/>
      <c r="N75" s="124"/>
      <c r="O75" s="125"/>
    </row>
    <row r="76" spans="1:15">
      <c r="A76" s="15" t="s">
        <v>145</v>
      </c>
      <c r="B76" s="25" t="s">
        <v>85</v>
      </c>
      <c r="C76" s="39">
        <v>1307</v>
      </c>
      <c r="D76" s="9">
        <v>41413</v>
      </c>
      <c r="E76" s="12" t="s">
        <v>153</v>
      </c>
      <c r="F76" s="12" t="s">
        <v>61</v>
      </c>
      <c r="G76" s="10">
        <v>6303.1</v>
      </c>
      <c r="H76" s="10">
        <v>4372.78</v>
      </c>
      <c r="I76" s="10">
        <v>393944.04</v>
      </c>
      <c r="J76" s="62">
        <v>1</v>
      </c>
      <c r="L76" s="11"/>
      <c r="M76" s="11"/>
      <c r="N76" s="124"/>
      <c r="O76" s="125"/>
    </row>
    <row r="77" spans="1:15">
      <c r="A77" s="15" t="s">
        <v>146</v>
      </c>
      <c r="B77" s="25" t="s">
        <v>85</v>
      </c>
      <c r="C77" s="42">
        <v>2610</v>
      </c>
      <c r="D77" s="9">
        <v>41430</v>
      </c>
      <c r="E77" s="12" t="s">
        <v>180</v>
      </c>
      <c r="F77" s="12" t="s">
        <v>61</v>
      </c>
      <c r="G77" s="10">
        <v>3267.2</v>
      </c>
      <c r="H77" s="10">
        <v>1188.44</v>
      </c>
      <c r="I77" s="10">
        <v>204200</v>
      </c>
      <c r="J77" s="62">
        <v>0.5</v>
      </c>
      <c r="L77" s="11"/>
      <c r="M77" s="11"/>
      <c r="N77" s="124"/>
      <c r="O77" s="125"/>
    </row>
    <row r="78" spans="1:15">
      <c r="A78" s="15" t="s">
        <v>145</v>
      </c>
      <c r="B78" s="25" t="s">
        <v>85</v>
      </c>
      <c r="C78" s="39">
        <v>810</v>
      </c>
      <c r="D78" s="9">
        <v>41413</v>
      </c>
      <c r="E78" s="12" t="s">
        <v>154</v>
      </c>
      <c r="F78" s="12" t="s">
        <v>61</v>
      </c>
      <c r="G78" s="10">
        <v>5273.6</v>
      </c>
      <c r="H78" s="10">
        <v>3005.95</v>
      </c>
      <c r="I78" s="10">
        <v>329600</v>
      </c>
      <c r="J78" s="62">
        <v>1</v>
      </c>
      <c r="L78" s="123" t="str">
        <f>E78</f>
        <v>JOAL</v>
      </c>
      <c r="M78" s="123" t="s">
        <v>61</v>
      </c>
      <c r="N78" s="124">
        <f>I78</f>
        <v>329600</v>
      </c>
      <c r="O78" s="125">
        <v>0.5</v>
      </c>
    </row>
    <row r="79" spans="1:15">
      <c r="A79" s="15" t="s">
        <v>145</v>
      </c>
      <c r="B79" s="25" t="s">
        <v>85</v>
      </c>
      <c r="C79" s="39">
        <v>811</v>
      </c>
      <c r="D79" s="9">
        <v>41413</v>
      </c>
      <c r="E79" s="12" t="s">
        <v>154</v>
      </c>
      <c r="F79" s="12" t="s">
        <v>61</v>
      </c>
      <c r="G79" s="10">
        <v>5273.6</v>
      </c>
      <c r="H79" s="10">
        <v>3005.95</v>
      </c>
      <c r="I79" s="10">
        <v>329600</v>
      </c>
      <c r="J79" s="62">
        <v>1</v>
      </c>
      <c r="L79" s="123" t="str">
        <f>E79</f>
        <v>JOAL</v>
      </c>
      <c r="M79" s="123" t="s">
        <v>24</v>
      </c>
      <c r="N79" s="124">
        <f>SUM(I79:I82)</f>
        <v>744795.18</v>
      </c>
      <c r="O79" s="125">
        <f>SUM(J79:J82)</f>
        <v>3</v>
      </c>
    </row>
    <row r="80" spans="1:15">
      <c r="A80" s="15" t="s">
        <v>270</v>
      </c>
      <c r="B80" s="25" t="s">
        <v>273</v>
      </c>
      <c r="C80" s="42">
        <v>48</v>
      </c>
      <c r="D80" s="9">
        <v>41450</v>
      </c>
      <c r="E80" s="12" t="s">
        <v>289</v>
      </c>
      <c r="F80" s="12" t="s">
        <v>61</v>
      </c>
      <c r="G80" s="10">
        <v>3072.84</v>
      </c>
      <c r="H80" s="10">
        <v>1555.62</v>
      </c>
      <c r="I80" s="10">
        <v>192052.43</v>
      </c>
      <c r="J80" s="62">
        <v>0.5</v>
      </c>
      <c r="L80" s="11"/>
      <c r="M80" s="11"/>
      <c r="N80" s="124"/>
      <c r="O80" s="125"/>
    </row>
    <row r="81" spans="1:15">
      <c r="A81" s="15" t="s">
        <v>270</v>
      </c>
      <c r="B81" s="25" t="s">
        <v>273</v>
      </c>
      <c r="C81" s="42">
        <v>28</v>
      </c>
      <c r="D81" s="9">
        <v>41450</v>
      </c>
      <c r="E81" s="12" t="s">
        <v>289</v>
      </c>
      <c r="F81" s="12" t="s">
        <v>61</v>
      </c>
      <c r="G81" s="10">
        <v>3011.69</v>
      </c>
      <c r="H81" s="10">
        <v>1524.67</v>
      </c>
      <c r="I81" s="10">
        <v>188230.72</v>
      </c>
      <c r="J81" s="62">
        <v>0.5</v>
      </c>
      <c r="L81" s="11"/>
      <c r="M81" s="11"/>
      <c r="N81" s="124"/>
      <c r="O81" s="125"/>
    </row>
    <row r="82" spans="1:15">
      <c r="A82" s="15" t="s">
        <v>53</v>
      </c>
      <c r="B82" s="25" t="s">
        <v>201</v>
      </c>
      <c r="C82" s="42" t="s">
        <v>236</v>
      </c>
      <c r="D82" s="12">
        <v>41354</v>
      </c>
      <c r="E82" s="12" t="s">
        <v>43</v>
      </c>
      <c r="F82" s="12" t="s">
        <v>61</v>
      </c>
      <c r="G82" s="10">
        <f>I82*1.6%</f>
        <v>558.59248000000002</v>
      </c>
      <c r="H82" s="10"/>
      <c r="I82" s="10">
        <v>34912.03</v>
      </c>
      <c r="J82" s="34">
        <v>1</v>
      </c>
      <c r="L82" s="11"/>
      <c r="M82" s="11"/>
      <c r="N82" s="124"/>
      <c r="O82" s="125"/>
    </row>
    <row r="83" spans="1:15">
      <c r="A83" s="15" t="s">
        <v>258</v>
      </c>
      <c r="B83" s="25" t="s">
        <v>85</v>
      </c>
      <c r="C83" s="39">
        <v>93</v>
      </c>
      <c r="D83" s="9">
        <v>41444</v>
      </c>
      <c r="E83" s="12" t="s">
        <v>43</v>
      </c>
      <c r="F83" s="12" t="s">
        <v>61</v>
      </c>
      <c r="G83" s="10">
        <v>12600</v>
      </c>
      <c r="H83" s="10">
        <v>0</v>
      </c>
      <c r="I83" s="10">
        <v>630000</v>
      </c>
      <c r="J83" s="62">
        <v>1</v>
      </c>
      <c r="L83" s="123" t="str">
        <f>E83</f>
        <v>MAURICIO</v>
      </c>
      <c r="M83" s="123" t="s">
        <v>61</v>
      </c>
      <c r="N83" s="124">
        <f>SUM(I83:I84)</f>
        <v>1004000</v>
      </c>
      <c r="O83" s="125">
        <f>SUM(J83:J84)</f>
        <v>2</v>
      </c>
    </row>
    <row r="84" spans="1:15">
      <c r="A84" s="15" t="s">
        <v>145</v>
      </c>
      <c r="B84" s="25" t="s">
        <v>85</v>
      </c>
      <c r="C84" s="39">
        <v>1707</v>
      </c>
      <c r="D84" s="9">
        <v>41416</v>
      </c>
      <c r="E84" s="12" t="s">
        <v>310</v>
      </c>
      <c r="F84" s="12" t="s">
        <v>61</v>
      </c>
      <c r="G84" s="10">
        <v>5984</v>
      </c>
      <c r="H84" s="10">
        <v>2939.64</v>
      </c>
      <c r="I84" s="10">
        <v>374000</v>
      </c>
      <c r="J84" s="62">
        <v>1</v>
      </c>
      <c r="L84" s="11"/>
      <c r="M84" s="11"/>
      <c r="N84" s="124"/>
      <c r="O84" s="125"/>
    </row>
    <row r="85" spans="1:15">
      <c r="A85" s="15" t="s">
        <v>145</v>
      </c>
      <c r="B85" s="25" t="s">
        <v>85</v>
      </c>
      <c r="C85" s="39">
        <v>1708</v>
      </c>
      <c r="D85" s="9">
        <v>41416</v>
      </c>
      <c r="E85" s="12" t="s">
        <v>310</v>
      </c>
      <c r="F85" s="12" t="s">
        <v>61</v>
      </c>
      <c r="G85" s="10">
        <v>7568</v>
      </c>
      <c r="H85" s="10">
        <v>3604.26</v>
      </c>
      <c r="I85" s="10">
        <v>473000</v>
      </c>
      <c r="J85" s="62">
        <v>1</v>
      </c>
      <c r="L85" s="123" t="str">
        <f>E85</f>
        <v>NEIVA</v>
      </c>
      <c r="M85" s="123" t="s">
        <v>23</v>
      </c>
      <c r="N85" s="124">
        <f>SUM(I85:I93)</f>
        <v>3670748.0199999996</v>
      </c>
      <c r="O85" s="125">
        <f>SUM(J85:J93)</f>
        <v>8</v>
      </c>
    </row>
    <row r="86" spans="1:15">
      <c r="A86" s="15" t="s">
        <v>270</v>
      </c>
      <c r="B86" s="25" t="s">
        <v>271</v>
      </c>
      <c r="C86" s="39">
        <v>31</v>
      </c>
      <c r="D86" s="12">
        <v>41451</v>
      </c>
      <c r="E86" s="12" t="s">
        <v>290</v>
      </c>
      <c r="F86" s="12" t="s">
        <v>61</v>
      </c>
      <c r="G86" s="10">
        <v>6150.34</v>
      </c>
      <c r="H86" s="10">
        <v>3113.61</v>
      </c>
      <c r="I86" s="10">
        <v>384395.95</v>
      </c>
      <c r="J86" s="34">
        <v>1</v>
      </c>
      <c r="L86" s="11"/>
      <c r="M86" s="11"/>
      <c r="N86" s="124"/>
      <c r="O86" s="125"/>
    </row>
    <row r="87" spans="1:15">
      <c r="A87" s="15" t="s">
        <v>270</v>
      </c>
      <c r="B87" s="25" t="s">
        <v>271</v>
      </c>
      <c r="C87" s="39">
        <v>38</v>
      </c>
      <c r="D87" s="12">
        <v>41451</v>
      </c>
      <c r="E87" s="12" t="s">
        <v>290</v>
      </c>
      <c r="F87" s="12" t="s">
        <v>61</v>
      </c>
      <c r="G87" s="10">
        <v>6150.34</v>
      </c>
      <c r="H87" s="10">
        <v>3113.61</v>
      </c>
      <c r="I87" s="10">
        <v>384395.95</v>
      </c>
      <c r="J87" s="34">
        <v>1</v>
      </c>
      <c r="L87" s="11"/>
      <c r="M87" s="11"/>
      <c r="N87" s="124"/>
      <c r="O87" s="125"/>
    </row>
    <row r="88" spans="1:15">
      <c r="A88" s="15" t="s">
        <v>270</v>
      </c>
      <c r="B88" s="25" t="s">
        <v>278</v>
      </c>
      <c r="C88" s="39">
        <v>41</v>
      </c>
      <c r="D88" s="12">
        <v>41451</v>
      </c>
      <c r="E88" s="12" t="s">
        <v>290</v>
      </c>
      <c r="F88" s="12" t="s">
        <v>61</v>
      </c>
      <c r="G88" s="10">
        <v>10143.290000000001</v>
      </c>
      <c r="H88" s="10">
        <v>5020.93</v>
      </c>
      <c r="I88" s="10">
        <v>633955.6</v>
      </c>
      <c r="J88" s="34">
        <v>1</v>
      </c>
      <c r="L88" s="11"/>
      <c r="M88" s="11"/>
      <c r="N88" s="124"/>
      <c r="O88" s="125"/>
    </row>
    <row r="89" spans="1:15">
      <c r="A89" s="15" t="s">
        <v>270</v>
      </c>
      <c r="B89" s="25" t="s">
        <v>271</v>
      </c>
      <c r="C89" s="39">
        <v>87</v>
      </c>
      <c r="D89" s="12">
        <v>41451</v>
      </c>
      <c r="E89" s="12" t="s">
        <v>290</v>
      </c>
      <c r="F89" s="12" t="s">
        <v>61</v>
      </c>
      <c r="G89" s="10">
        <v>4193.8500000000004</v>
      </c>
      <c r="H89" s="10">
        <v>1592.35</v>
      </c>
      <c r="I89" s="10">
        <v>262115.65</v>
      </c>
      <c r="J89" s="34">
        <v>0.5</v>
      </c>
      <c r="L89" s="11"/>
      <c r="M89" s="11"/>
      <c r="N89" s="124"/>
      <c r="O89" s="125"/>
    </row>
    <row r="90" spans="1:15">
      <c r="A90" s="15" t="s">
        <v>145</v>
      </c>
      <c r="B90" s="25" t="s">
        <v>85</v>
      </c>
      <c r="C90" s="39">
        <v>2110</v>
      </c>
      <c r="D90" s="9">
        <v>41425</v>
      </c>
      <c r="E90" s="12" t="s">
        <v>311</v>
      </c>
      <c r="F90" s="12" t="s">
        <v>61</v>
      </c>
      <c r="G90" s="10">
        <v>6361.95</v>
      </c>
      <c r="H90" s="10">
        <v>0</v>
      </c>
      <c r="I90" s="10">
        <v>397621.86</v>
      </c>
      <c r="J90" s="62">
        <v>1</v>
      </c>
      <c r="L90" s="11"/>
      <c r="M90" s="11"/>
      <c r="N90" s="124"/>
      <c r="O90" s="125"/>
    </row>
    <row r="91" spans="1:15">
      <c r="A91" s="15" t="s">
        <v>145</v>
      </c>
      <c r="B91" s="25" t="s">
        <v>85</v>
      </c>
      <c r="C91" s="39">
        <v>2111</v>
      </c>
      <c r="D91" s="9">
        <v>41425</v>
      </c>
      <c r="E91" s="12" t="s">
        <v>311</v>
      </c>
      <c r="F91" s="12" t="s">
        <v>61</v>
      </c>
      <c r="G91" s="10">
        <v>6361.95</v>
      </c>
      <c r="H91" s="10">
        <v>0</v>
      </c>
      <c r="I91" s="10">
        <v>397621.86</v>
      </c>
      <c r="J91" s="62">
        <v>1</v>
      </c>
      <c r="L91" s="11"/>
      <c r="M91" s="11"/>
      <c r="N91" s="124"/>
      <c r="O91" s="125"/>
    </row>
    <row r="92" spans="1:15">
      <c r="A92" s="15" t="s">
        <v>270</v>
      </c>
      <c r="B92" s="25" t="s">
        <v>271</v>
      </c>
      <c r="C92" s="42">
        <v>72</v>
      </c>
      <c r="D92" s="9">
        <v>41451</v>
      </c>
      <c r="E92" s="12" t="s">
        <v>311</v>
      </c>
      <c r="F92" s="12" t="s">
        <v>61</v>
      </c>
      <c r="G92" s="10">
        <v>8197.26</v>
      </c>
      <c r="H92" s="10">
        <v>2612.88</v>
      </c>
      <c r="I92" s="10">
        <v>512328.88</v>
      </c>
      <c r="J92" s="62">
        <v>1</v>
      </c>
      <c r="L92" s="11"/>
      <c r="M92" s="11"/>
      <c r="N92" s="124"/>
      <c r="O92" s="125"/>
    </row>
    <row r="93" spans="1:15">
      <c r="A93" s="15" t="s">
        <v>270</v>
      </c>
      <c r="B93" s="25" t="s">
        <v>273</v>
      </c>
      <c r="C93" s="42">
        <v>26</v>
      </c>
      <c r="D93" s="9">
        <v>41451</v>
      </c>
      <c r="E93" s="12" t="s">
        <v>286</v>
      </c>
      <c r="F93" s="12" t="s">
        <v>61</v>
      </c>
      <c r="G93" s="10">
        <v>3605</v>
      </c>
      <c r="H93" s="10">
        <v>1825.03</v>
      </c>
      <c r="I93" s="10">
        <v>225312.27</v>
      </c>
      <c r="J93" s="62">
        <v>0.5</v>
      </c>
      <c r="L93" s="11"/>
      <c r="M93" s="11"/>
      <c r="N93" s="124"/>
      <c r="O93" s="125"/>
    </row>
    <row r="94" spans="1:15">
      <c r="A94" s="15" t="s">
        <v>145</v>
      </c>
      <c r="B94" s="25" t="s">
        <v>85</v>
      </c>
      <c r="C94" s="39">
        <v>1403</v>
      </c>
      <c r="D94" s="9">
        <v>41407</v>
      </c>
      <c r="E94" s="12" t="s">
        <v>150</v>
      </c>
      <c r="F94" s="12" t="s">
        <v>61</v>
      </c>
      <c r="G94" s="10">
        <v>5246.22</v>
      </c>
      <c r="H94" s="10">
        <v>3639.57</v>
      </c>
      <c r="I94" s="10">
        <v>327888.90000000002</v>
      </c>
      <c r="J94" s="62">
        <v>1</v>
      </c>
      <c r="L94" s="123" t="str">
        <f>E94</f>
        <v>TROIA</v>
      </c>
      <c r="M94" s="123" t="s">
        <v>24</v>
      </c>
      <c r="N94" s="124">
        <f>SUM(I94:I95)</f>
        <v>660813.9</v>
      </c>
      <c r="O94" s="125">
        <f>SUM(J94:J95)</f>
        <v>2</v>
      </c>
    </row>
    <row r="95" spans="1:15">
      <c r="A95" s="15" t="s">
        <v>145</v>
      </c>
      <c r="B95" s="25" t="s">
        <v>85</v>
      </c>
      <c r="C95" s="39">
        <v>1802</v>
      </c>
      <c r="D95" s="9">
        <v>41407</v>
      </c>
      <c r="E95" s="12" t="s">
        <v>150</v>
      </c>
      <c r="F95" s="12" t="s">
        <v>61</v>
      </c>
      <c r="G95" s="10">
        <v>5326.8</v>
      </c>
      <c r="H95" s="10">
        <v>3695.47</v>
      </c>
      <c r="I95" s="10">
        <v>332925</v>
      </c>
      <c r="J95" s="62">
        <v>1</v>
      </c>
      <c r="L95" s="11"/>
      <c r="M95" s="11"/>
      <c r="N95" s="124"/>
      <c r="O95" s="125"/>
    </row>
    <row r="96" spans="1:15">
      <c r="A96" s="15" t="s">
        <v>145</v>
      </c>
      <c r="B96" s="25" t="s">
        <v>85</v>
      </c>
      <c r="C96" s="39">
        <v>2202</v>
      </c>
      <c r="D96" s="9">
        <v>41407</v>
      </c>
      <c r="E96" s="12" t="s">
        <v>150</v>
      </c>
      <c r="F96" s="12" t="s">
        <v>61</v>
      </c>
      <c r="G96" s="10">
        <v>5973.29</v>
      </c>
      <c r="H96" s="10">
        <v>4143.97</v>
      </c>
      <c r="I96" s="10">
        <v>373330.46</v>
      </c>
      <c r="J96" s="62">
        <v>1</v>
      </c>
      <c r="L96" s="123" t="str">
        <f>E96</f>
        <v>TROIA</v>
      </c>
      <c r="M96" s="123" t="s">
        <v>61</v>
      </c>
      <c r="N96" s="124">
        <f>SUM(I96:I97)</f>
        <v>896296.60000000009</v>
      </c>
      <c r="O96" s="125">
        <f>SUM(J96:J97)</f>
        <v>2</v>
      </c>
    </row>
    <row r="97" spans="1:15">
      <c r="A97" s="15" t="s">
        <v>145</v>
      </c>
      <c r="B97" s="25" t="s">
        <v>85</v>
      </c>
      <c r="C97" s="39">
        <v>2204</v>
      </c>
      <c r="D97" s="9">
        <v>41423</v>
      </c>
      <c r="E97" s="12" t="s">
        <v>150</v>
      </c>
      <c r="F97" s="12" t="s">
        <v>61</v>
      </c>
      <c r="G97" s="10">
        <f>I97*1.6%</f>
        <v>8367.4582399999999</v>
      </c>
      <c r="H97" s="10">
        <f>I97*1.11%</f>
        <v>5804.9241540000003</v>
      </c>
      <c r="I97" s="10">
        <v>522966.14</v>
      </c>
      <c r="J97" s="62">
        <v>1</v>
      </c>
      <c r="L97" s="11"/>
      <c r="M97" s="11"/>
      <c r="N97" s="124"/>
      <c r="O97" s="125"/>
    </row>
    <row r="98" spans="1:15">
      <c r="A98" s="15" t="s">
        <v>81</v>
      </c>
      <c r="B98" s="25" t="s">
        <v>82</v>
      </c>
      <c r="C98" s="42">
        <v>116</v>
      </c>
      <c r="D98" s="9">
        <v>41374</v>
      </c>
      <c r="E98" s="12" t="s">
        <v>84</v>
      </c>
      <c r="F98" s="12" t="s">
        <v>61</v>
      </c>
      <c r="G98" s="10">
        <f>I98*2%</f>
        <v>10200.815400000001</v>
      </c>
      <c r="H98" s="10"/>
      <c r="I98" s="10">
        <v>510040.77</v>
      </c>
      <c r="J98" s="62">
        <v>1</v>
      </c>
      <c r="L98" s="123" t="str">
        <f>E98</f>
        <v>VINNI</v>
      </c>
      <c r="M98" s="123" t="s">
        <v>27</v>
      </c>
      <c r="N98" s="124">
        <f>SUM(I98:I100)</f>
        <v>1410995.32</v>
      </c>
      <c r="O98" s="125">
        <f>SUM(J98:J100)</f>
        <v>3</v>
      </c>
    </row>
    <row r="99" spans="1:15">
      <c r="A99" s="15" t="s">
        <v>145</v>
      </c>
      <c r="B99" s="25" t="s">
        <v>85</v>
      </c>
      <c r="C99" s="39">
        <v>1813</v>
      </c>
      <c r="D99" s="9">
        <v>41407</v>
      </c>
      <c r="E99" s="12" t="s">
        <v>84</v>
      </c>
      <c r="F99" s="12" t="s">
        <v>61</v>
      </c>
      <c r="G99" s="10">
        <v>8032.56</v>
      </c>
      <c r="H99" s="10">
        <v>5572.59</v>
      </c>
      <c r="I99" s="10">
        <v>502035.15</v>
      </c>
      <c r="J99" s="62">
        <v>1</v>
      </c>
      <c r="L99" s="11"/>
      <c r="M99" s="11"/>
      <c r="N99" s="124"/>
      <c r="O99" s="125"/>
    </row>
    <row r="100" spans="1:15">
      <c r="A100" s="15" t="s">
        <v>270</v>
      </c>
      <c r="B100" s="25" t="s">
        <v>271</v>
      </c>
      <c r="C100" s="39">
        <v>85</v>
      </c>
      <c r="D100" s="9">
        <v>41451</v>
      </c>
      <c r="E100" s="12" t="s">
        <v>84</v>
      </c>
      <c r="F100" s="12" t="s">
        <v>61</v>
      </c>
      <c r="G100" s="10">
        <v>6382.71</v>
      </c>
      <c r="H100" s="10">
        <v>3231.25</v>
      </c>
      <c r="I100" s="10">
        <v>398919.4</v>
      </c>
      <c r="J100" s="62">
        <v>1</v>
      </c>
      <c r="L100" s="11"/>
      <c r="M100" s="11"/>
      <c r="N100" s="124"/>
      <c r="O100" s="125"/>
    </row>
    <row r="101" spans="1:15">
      <c r="A101" s="15" t="s">
        <v>145</v>
      </c>
      <c r="B101" s="25" t="s">
        <v>85</v>
      </c>
      <c r="C101" s="39">
        <v>1110</v>
      </c>
      <c r="D101" s="9">
        <v>41413</v>
      </c>
      <c r="E101" s="12" t="s">
        <v>161</v>
      </c>
      <c r="F101" s="12" t="s">
        <v>25</v>
      </c>
      <c r="G101" s="10">
        <v>2844.8</v>
      </c>
      <c r="H101" s="10">
        <v>1973.58</v>
      </c>
      <c r="I101" s="10">
        <v>177799.85</v>
      </c>
      <c r="J101" s="62">
        <v>0.5</v>
      </c>
      <c r="L101" s="11" t="str">
        <f>E101</f>
        <v>AILTON</v>
      </c>
      <c r="M101" s="11" t="s">
        <v>24</v>
      </c>
      <c r="N101" s="124">
        <f>I101</f>
        <v>177799.85</v>
      </c>
      <c r="O101" s="125">
        <f>J101</f>
        <v>0.5</v>
      </c>
    </row>
    <row r="102" spans="1:15">
      <c r="A102" s="15" t="s">
        <v>139</v>
      </c>
      <c r="B102" s="25" t="s">
        <v>248</v>
      </c>
      <c r="C102" s="39">
        <v>1</v>
      </c>
      <c r="D102" s="9">
        <v>41281</v>
      </c>
      <c r="E102" s="12" t="s">
        <v>18</v>
      </c>
      <c r="F102" s="12" t="s">
        <v>25</v>
      </c>
      <c r="G102" s="10">
        <v>3431.88</v>
      </c>
      <c r="H102" s="10">
        <f>5854.38-G102</f>
        <v>2422.5</v>
      </c>
      <c r="I102" s="10">
        <v>201875</v>
      </c>
      <c r="J102" s="34">
        <v>1</v>
      </c>
      <c r="L102" s="123" t="str">
        <f>E102</f>
        <v>ALEXANDRE</v>
      </c>
      <c r="M102" s="123" t="s">
        <v>25</v>
      </c>
      <c r="N102" s="124">
        <f>SUM(I102:I106)</f>
        <v>1000774.36</v>
      </c>
      <c r="O102" s="125">
        <f>SUM(J102:J106)</f>
        <v>4.5</v>
      </c>
    </row>
    <row r="103" spans="1:15">
      <c r="A103" s="15" t="s">
        <v>138</v>
      </c>
      <c r="B103" s="25" t="s">
        <v>249</v>
      </c>
      <c r="C103" s="39">
        <v>6</v>
      </c>
      <c r="D103" s="12">
        <v>41297</v>
      </c>
      <c r="E103" s="12" t="s">
        <v>18</v>
      </c>
      <c r="F103" s="12" t="s">
        <v>25</v>
      </c>
      <c r="G103" s="10">
        <v>3070.63</v>
      </c>
      <c r="H103" s="10">
        <f>4154.38-G103</f>
        <v>1083.75</v>
      </c>
      <c r="I103" s="10">
        <v>180625</v>
      </c>
      <c r="J103" s="34">
        <v>1</v>
      </c>
      <c r="L103" s="11"/>
      <c r="M103" s="11"/>
      <c r="N103" s="124"/>
      <c r="O103" s="125"/>
    </row>
    <row r="104" spans="1:15">
      <c r="A104" s="15" t="s">
        <v>182</v>
      </c>
      <c r="B104" s="25" t="s">
        <v>183</v>
      </c>
      <c r="C104" s="42">
        <v>43</v>
      </c>
      <c r="D104" s="9">
        <v>41397</v>
      </c>
      <c r="E104" s="12" t="s">
        <v>184</v>
      </c>
      <c r="F104" s="12" t="s">
        <v>25</v>
      </c>
      <c r="G104" s="10">
        <f>I104*1.7%</f>
        <v>3060</v>
      </c>
      <c r="H104" s="10">
        <v>0</v>
      </c>
      <c r="I104" s="10">
        <v>180000</v>
      </c>
      <c r="J104" s="62">
        <v>1</v>
      </c>
      <c r="L104" s="11"/>
      <c r="M104" s="11"/>
      <c r="N104" s="124"/>
      <c r="O104" s="125"/>
    </row>
    <row r="105" spans="1:15">
      <c r="A105" s="15" t="s">
        <v>138</v>
      </c>
      <c r="B105" s="25" t="s">
        <v>185</v>
      </c>
      <c r="C105" s="42">
        <v>61</v>
      </c>
      <c r="D105" s="9">
        <v>41404</v>
      </c>
      <c r="E105" s="12" t="s">
        <v>184</v>
      </c>
      <c r="F105" s="12" t="s">
        <v>25</v>
      </c>
      <c r="G105" s="10">
        <f>I105*1.7%</f>
        <v>3774.0003400000001</v>
      </c>
      <c r="H105" s="10">
        <f>6438-G105</f>
        <v>2663.9996599999999</v>
      </c>
      <c r="I105" s="10">
        <v>222000.02</v>
      </c>
      <c r="J105" s="62">
        <v>1</v>
      </c>
      <c r="L105" s="11"/>
      <c r="M105" s="11"/>
      <c r="N105" s="124"/>
      <c r="O105" s="125"/>
    </row>
    <row r="106" spans="1:15">
      <c r="A106" s="15" t="s">
        <v>124</v>
      </c>
      <c r="B106" s="25" t="s">
        <v>85</v>
      </c>
      <c r="C106" s="39">
        <v>612</v>
      </c>
      <c r="D106" s="12">
        <v>41343</v>
      </c>
      <c r="E106" s="12" t="s">
        <v>64</v>
      </c>
      <c r="F106" s="12" t="s">
        <v>25</v>
      </c>
      <c r="G106" s="10">
        <v>5861.03</v>
      </c>
      <c r="H106" s="10"/>
      <c r="I106" s="10">
        <v>216274.34</v>
      </c>
      <c r="J106" s="34">
        <v>0.5</v>
      </c>
      <c r="L106" s="11"/>
      <c r="M106" s="11"/>
      <c r="N106" s="124"/>
      <c r="O106" s="125"/>
    </row>
    <row r="107" spans="1:15">
      <c r="A107" s="15" t="s">
        <v>124</v>
      </c>
      <c r="B107" s="25" t="s">
        <v>85</v>
      </c>
      <c r="C107" s="39">
        <v>1411</v>
      </c>
      <c r="D107" s="9">
        <v>41343</v>
      </c>
      <c r="E107" s="12" t="s">
        <v>64</v>
      </c>
      <c r="F107" s="12" t="s">
        <v>25</v>
      </c>
      <c r="G107" s="10">
        <v>13673.85</v>
      </c>
      <c r="H107" s="10"/>
      <c r="I107" s="10">
        <v>504570</v>
      </c>
      <c r="J107" s="34">
        <v>1</v>
      </c>
      <c r="L107" s="123" t="str">
        <f>E107</f>
        <v>ANDERSON</v>
      </c>
      <c r="M107" s="123" t="s">
        <v>25</v>
      </c>
      <c r="N107" s="124">
        <f>SUM(I107:I108)</f>
        <v>722384.01</v>
      </c>
      <c r="O107" s="125">
        <f>SUM(J107:J108)</f>
        <v>2</v>
      </c>
    </row>
    <row r="108" spans="1:15">
      <c r="A108" s="15" t="s">
        <v>138</v>
      </c>
      <c r="B108" s="25" t="s">
        <v>247</v>
      </c>
      <c r="C108" s="39">
        <v>2</v>
      </c>
      <c r="D108" s="9">
        <v>41284</v>
      </c>
      <c r="E108" s="12" t="s">
        <v>17</v>
      </c>
      <c r="F108" s="12" t="s">
        <v>25</v>
      </c>
      <c r="G108" s="10">
        <v>3702.84</v>
      </c>
      <c r="H108" s="10">
        <f>6316.61-G108</f>
        <v>2613.7699999999995</v>
      </c>
      <c r="I108" s="10">
        <v>217814.01</v>
      </c>
      <c r="J108" s="34">
        <v>1</v>
      </c>
      <c r="L108" s="11"/>
      <c r="M108" s="11"/>
      <c r="N108" s="124"/>
      <c r="O108" s="125"/>
    </row>
    <row r="109" spans="1:15">
      <c r="A109" s="15" t="s">
        <v>139</v>
      </c>
      <c r="B109" s="25" t="s">
        <v>17</v>
      </c>
      <c r="C109" s="39">
        <v>42</v>
      </c>
      <c r="D109" s="9">
        <v>41290</v>
      </c>
      <c r="E109" s="12" t="s">
        <v>17</v>
      </c>
      <c r="F109" s="12" t="s">
        <v>25</v>
      </c>
      <c r="G109" s="10">
        <v>2980.32</v>
      </c>
      <c r="H109" s="10">
        <f>4032.2-G109</f>
        <v>1051.8799999999997</v>
      </c>
      <c r="I109" s="10">
        <v>175313</v>
      </c>
      <c r="J109" s="34">
        <v>1</v>
      </c>
      <c r="L109" s="126" t="str">
        <f>E109</f>
        <v>BRUNO</v>
      </c>
      <c r="M109" s="126" t="s">
        <v>26</v>
      </c>
      <c r="N109" s="124">
        <f>SUM(I109:I111)</f>
        <v>493271</v>
      </c>
      <c r="O109" s="125">
        <f>SUM(J109:J111)</f>
        <v>2.5</v>
      </c>
    </row>
    <row r="110" spans="1:15">
      <c r="A110" s="15" t="s">
        <v>219</v>
      </c>
      <c r="B110" s="25" t="s">
        <v>220</v>
      </c>
      <c r="C110" s="39">
        <v>107</v>
      </c>
      <c r="D110" s="12">
        <v>41337</v>
      </c>
      <c r="E110" s="12" t="s">
        <v>17</v>
      </c>
      <c r="F110" s="12" t="s">
        <v>25</v>
      </c>
      <c r="G110" s="10">
        <f>I110*2%</f>
        <v>3961.1600000000003</v>
      </c>
      <c r="H110" s="10"/>
      <c r="I110" s="10">
        <v>198058</v>
      </c>
      <c r="J110" s="34">
        <v>1</v>
      </c>
      <c r="L110" s="11"/>
      <c r="M110" s="11"/>
      <c r="N110" s="124"/>
      <c r="O110" s="125"/>
    </row>
    <row r="111" spans="1:15">
      <c r="A111" s="15" t="s">
        <v>204</v>
      </c>
      <c r="B111" s="25" t="s">
        <v>205</v>
      </c>
      <c r="C111" s="42">
        <v>6</v>
      </c>
      <c r="D111" s="9">
        <v>41374</v>
      </c>
      <c r="E111" s="12" t="s">
        <v>17</v>
      </c>
      <c r="F111" s="12" t="s">
        <v>25</v>
      </c>
      <c r="G111" s="10">
        <f>I111*1%</f>
        <v>1199</v>
      </c>
      <c r="H111" s="10"/>
      <c r="I111" s="10">
        <v>119900</v>
      </c>
      <c r="J111" s="62">
        <v>0.5</v>
      </c>
      <c r="L111" s="11"/>
      <c r="M111" s="11"/>
      <c r="N111" s="124"/>
      <c r="O111" s="125"/>
    </row>
    <row r="112" spans="1:15">
      <c r="A112" s="15" t="s">
        <v>191</v>
      </c>
      <c r="B112" s="25" t="s">
        <v>117</v>
      </c>
      <c r="C112" s="42">
        <v>31</v>
      </c>
      <c r="D112" s="9">
        <v>41417</v>
      </c>
      <c r="E112" s="12" t="s">
        <v>190</v>
      </c>
      <c r="F112" s="12" t="s">
        <v>25</v>
      </c>
      <c r="G112" s="10">
        <v>4470</v>
      </c>
      <c r="H112" s="10">
        <v>0</v>
      </c>
      <c r="I112" s="10">
        <v>223500</v>
      </c>
      <c r="J112" s="62">
        <v>1</v>
      </c>
      <c r="L112" s="123" t="str">
        <f>E112</f>
        <v xml:space="preserve">BRUNO </v>
      </c>
      <c r="M112" s="123" t="s">
        <v>79</v>
      </c>
      <c r="N112" s="124">
        <f>I112</f>
        <v>223500</v>
      </c>
      <c r="O112" s="125">
        <v>0.5</v>
      </c>
    </row>
    <row r="113" spans="1:15">
      <c r="A113" s="15" t="s">
        <v>182</v>
      </c>
      <c r="B113" s="25" t="s">
        <v>189</v>
      </c>
      <c r="C113" s="39">
        <v>57</v>
      </c>
      <c r="D113" s="12">
        <v>41396</v>
      </c>
      <c r="E113" s="12" t="s">
        <v>190</v>
      </c>
      <c r="F113" s="12" t="s">
        <v>25</v>
      </c>
      <c r="G113" s="10">
        <f>I113*1.7%</f>
        <v>3060</v>
      </c>
      <c r="H113" s="10">
        <v>0</v>
      </c>
      <c r="I113" s="10">
        <v>180000</v>
      </c>
      <c r="J113" s="62">
        <v>1</v>
      </c>
      <c r="L113" s="123" t="str">
        <f>E113</f>
        <v xml:space="preserve">BRUNO </v>
      </c>
      <c r="M113" s="123" t="s">
        <v>26</v>
      </c>
      <c r="N113" s="124">
        <f>SUM(I113:I116)</f>
        <v>934762.46</v>
      </c>
      <c r="O113" s="125">
        <f>SUM(J113:J116)</f>
        <v>3</v>
      </c>
    </row>
    <row r="114" spans="1:15">
      <c r="A114" s="15" t="s">
        <v>270</v>
      </c>
      <c r="B114" s="25" t="s">
        <v>273</v>
      </c>
      <c r="C114" s="39">
        <v>37</v>
      </c>
      <c r="D114" s="9">
        <v>41451</v>
      </c>
      <c r="E114" s="12" t="s">
        <v>295</v>
      </c>
      <c r="F114" s="12" t="s">
        <v>25</v>
      </c>
      <c r="G114" s="10">
        <v>3716.23</v>
      </c>
      <c r="H114" s="10">
        <v>1881.34</v>
      </c>
      <c r="I114" s="10">
        <v>232264.44</v>
      </c>
      <c r="J114" s="62">
        <v>0.5</v>
      </c>
      <c r="L114" s="11"/>
      <c r="M114" s="11"/>
      <c r="N114" s="124"/>
      <c r="O114" s="125"/>
    </row>
    <row r="115" spans="1:15">
      <c r="A115" s="15" t="s">
        <v>270</v>
      </c>
      <c r="B115" s="25" t="s">
        <v>201</v>
      </c>
      <c r="C115" s="42" t="s">
        <v>294</v>
      </c>
      <c r="D115" s="9">
        <v>41451</v>
      </c>
      <c r="E115" s="12" t="s">
        <v>295</v>
      </c>
      <c r="F115" s="12" t="s">
        <v>25</v>
      </c>
      <c r="G115" s="10">
        <v>216.94</v>
      </c>
      <c r="H115" s="10">
        <v>0</v>
      </c>
      <c r="I115" s="10">
        <v>13558.87</v>
      </c>
      <c r="J115" s="62">
        <v>0.5</v>
      </c>
      <c r="L115" s="11"/>
      <c r="M115" s="11"/>
      <c r="N115" s="124"/>
      <c r="O115" s="125"/>
    </row>
    <row r="116" spans="1:15">
      <c r="A116" s="15" t="s">
        <v>270</v>
      </c>
      <c r="B116" s="25" t="s">
        <v>271</v>
      </c>
      <c r="C116" s="39">
        <v>76</v>
      </c>
      <c r="D116" s="9">
        <v>41451</v>
      </c>
      <c r="E116" s="12" t="s">
        <v>295</v>
      </c>
      <c r="F116" s="12" t="s">
        <v>25</v>
      </c>
      <c r="G116" s="10">
        <v>8143.03</v>
      </c>
      <c r="H116" s="10">
        <v>0</v>
      </c>
      <c r="I116" s="10">
        <v>508939.15</v>
      </c>
      <c r="J116" s="62">
        <v>1</v>
      </c>
      <c r="L116" s="11"/>
      <c r="M116" s="11"/>
      <c r="N116" s="124"/>
      <c r="O116" s="125"/>
    </row>
    <row r="117" spans="1:15">
      <c r="A117" s="15" t="s">
        <v>270</v>
      </c>
      <c r="B117" s="25" t="s">
        <v>271</v>
      </c>
      <c r="C117" s="42">
        <v>56</v>
      </c>
      <c r="D117" s="9">
        <v>41451</v>
      </c>
      <c r="E117" s="12" t="s">
        <v>295</v>
      </c>
      <c r="F117" s="12" t="s">
        <v>25</v>
      </c>
      <c r="G117" s="10">
        <v>8127.22</v>
      </c>
      <c r="H117" s="10">
        <v>0</v>
      </c>
      <c r="I117" s="10">
        <v>507951.47</v>
      </c>
      <c r="J117" s="62">
        <v>1</v>
      </c>
      <c r="L117" s="123" t="str">
        <f>E117</f>
        <v>CABRAL</v>
      </c>
      <c r="M117" s="123" t="s">
        <v>61</v>
      </c>
      <c r="N117" s="124">
        <f>I117</f>
        <v>507951.47</v>
      </c>
      <c r="O117" s="125">
        <f>J117</f>
        <v>1</v>
      </c>
    </row>
    <row r="118" spans="1:15">
      <c r="A118" s="15" t="s">
        <v>204</v>
      </c>
      <c r="B118" s="25" t="s">
        <v>205</v>
      </c>
      <c r="C118" s="42">
        <v>6</v>
      </c>
      <c r="D118" s="9">
        <v>41374</v>
      </c>
      <c r="E118" s="12" t="s">
        <v>206</v>
      </c>
      <c r="F118" s="12" t="s">
        <v>25</v>
      </c>
      <c r="G118" s="10">
        <f>I118*1%</f>
        <v>1199</v>
      </c>
      <c r="H118" s="10"/>
      <c r="I118" s="10">
        <v>119900</v>
      </c>
      <c r="J118" s="62">
        <v>0.5</v>
      </c>
      <c r="L118" s="123" t="str">
        <f>E118</f>
        <v>CAMIS</v>
      </c>
      <c r="M118" s="123" t="s">
        <v>25</v>
      </c>
      <c r="N118" s="124">
        <f>SUM(I118:I119)</f>
        <v>343100</v>
      </c>
      <c r="O118" s="125">
        <f>SUM(J118:J119)</f>
        <v>1</v>
      </c>
    </row>
    <row r="119" spans="1:15">
      <c r="A119" s="15" t="s">
        <v>145</v>
      </c>
      <c r="B119" s="25" t="s">
        <v>82</v>
      </c>
      <c r="C119" s="39">
        <v>409</v>
      </c>
      <c r="D119" s="9">
        <v>41445</v>
      </c>
      <c r="E119" s="12" t="s">
        <v>206</v>
      </c>
      <c r="F119" s="12" t="s">
        <v>25</v>
      </c>
      <c r="G119" s="10">
        <v>3571.2</v>
      </c>
      <c r="H119" s="10">
        <v>0</v>
      </c>
      <c r="I119" s="10">
        <v>223200</v>
      </c>
      <c r="J119" s="62">
        <v>0.5</v>
      </c>
      <c r="L119" s="11"/>
      <c r="M119" s="11"/>
      <c r="N119" s="124"/>
      <c r="O119" s="125"/>
    </row>
    <row r="120" spans="1:15">
      <c r="A120" s="15" t="s">
        <v>145</v>
      </c>
      <c r="B120" s="25" t="s">
        <v>82</v>
      </c>
      <c r="C120" s="39">
        <v>2408</v>
      </c>
      <c r="D120" s="9">
        <v>41445</v>
      </c>
      <c r="E120" s="12" t="s">
        <v>206</v>
      </c>
      <c r="F120" s="12" t="s">
        <v>25</v>
      </c>
      <c r="G120" s="10">
        <v>3868.8</v>
      </c>
      <c r="H120" s="10">
        <v>0</v>
      </c>
      <c r="I120" s="10">
        <v>241800</v>
      </c>
      <c r="J120" s="62">
        <v>0.5</v>
      </c>
      <c r="L120" s="123" t="str">
        <f>E120</f>
        <v>CAMIS</v>
      </c>
      <c r="M120" s="123" t="s">
        <v>25</v>
      </c>
      <c r="N120" s="124">
        <f>SUM(I120:I128)</f>
        <v>3132552.91</v>
      </c>
      <c r="O120" s="125">
        <f>SUM(J120:J128)</f>
        <v>6</v>
      </c>
    </row>
    <row r="121" spans="1:15">
      <c r="A121" s="15" t="s">
        <v>57</v>
      </c>
      <c r="B121" s="25" t="s">
        <v>188</v>
      </c>
      <c r="C121" s="39">
        <v>152</v>
      </c>
      <c r="D121" s="9">
        <v>41414</v>
      </c>
      <c r="E121" s="12" t="s">
        <v>206</v>
      </c>
      <c r="F121" s="12" t="s">
        <v>25</v>
      </c>
      <c r="G121" s="10">
        <v>4418.3999999999996</v>
      </c>
      <c r="H121" s="10">
        <v>0</v>
      </c>
      <c r="I121" s="10">
        <v>138075</v>
      </c>
      <c r="J121" s="62">
        <v>0.5</v>
      </c>
      <c r="L121" s="11"/>
      <c r="M121" s="11"/>
      <c r="N121" s="124"/>
      <c r="O121" s="125"/>
    </row>
    <row r="122" spans="1:15">
      <c r="A122" s="15" t="s">
        <v>89</v>
      </c>
      <c r="B122" s="25" t="s">
        <v>85</v>
      </c>
      <c r="C122" s="39">
        <v>192</v>
      </c>
      <c r="D122" s="9">
        <v>41425</v>
      </c>
      <c r="E122" s="12" t="s">
        <v>206</v>
      </c>
      <c r="F122" s="12" t="s">
        <v>25</v>
      </c>
      <c r="G122" s="10">
        <v>24000</v>
      </c>
      <c r="H122" s="10">
        <v>13320</v>
      </c>
      <c r="I122" s="10">
        <v>1200000</v>
      </c>
      <c r="J122" s="62">
        <v>0.5</v>
      </c>
      <c r="L122" s="11"/>
      <c r="M122" s="11"/>
      <c r="N122" s="124"/>
      <c r="O122" s="125"/>
    </row>
    <row r="123" spans="1:15">
      <c r="A123" s="15" t="s">
        <v>186</v>
      </c>
      <c r="B123" s="25" t="s">
        <v>85</v>
      </c>
      <c r="C123" s="42">
        <v>412</v>
      </c>
      <c r="D123" s="9">
        <v>41402</v>
      </c>
      <c r="E123" s="12" t="s">
        <v>206</v>
      </c>
      <c r="F123" s="12" t="s">
        <v>25</v>
      </c>
      <c r="G123" s="10">
        <f>I123*2%</f>
        <v>7348</v>
      </c>
      <c r="H123" s="10">
        <v>0</v>
      </c>
      <c r="I123" s="10">
        <v>367400</v>
      </c>
      <c r="J123" s="62">
        <v>1</v>
      </c>
      <c r="L123" s="11"/>
      <c r="M123" s="11"/>
      <c r="N123" s="124"/>
      <c r="O123" s="125"/>
    </row>
    <row r="124" spans="1:15">
      <c r="A124" s="15" t="s">
        <v>145</v>
      </c>
      <c r="B124" s="25" t="s">
        <v>85</v>
      </c>
      <c r="C124" s="39">
        <v>502</v>
      </c>
      <c r="D124" s="9">
        <v>41407</v>
      </c>
      <c r="E124" s="12" t="s">
        <v>206</v>
      </c>
      <c r="F124" s="12" t="s">
        <v>25</v>
      </c>
      <c r="G124" s="10">
        <v>2823.22</v>
      </c>
      <c r="H124" s="10">
        <v>1958.61</v>
      </c>
      <c r="I124" s="10">
        <v>176451.06</v>
      </c>
      <c r="J124" s="62">
        <v>0.5</v>
      </c>
      <c r="L124" s="11"/>
      <c r="M124" s="11"/>
      <c r="N124" s="124"/>
      <c r="O124" s="125"/>
    </row>
    <row r="125" spans="1:15">
      <c r="A125" s="15" t="s">
        <v>145</v>
      </c>
      <c r="B125" s="25" t="s">
        <v>85</v>
      </c>
      <c r="C125" s="39">
        <v>715</v>
      </c>
      <c r="D125" s="9">
        <v>41407</v>
      </c>
      <c r="E125" s="12" t="s">
        <v>206</v>
      </c>
      <c r="F125" s="12" t="s">
        <v>25</v>
      </c>
      <c r="G125" s="10">
        <v>4860.99</v>
      </c>
      <c r="H125" s="10">
        <v>3372.31</v>
      </c>
      <c r="I125" s="10">
        <v>303812</v>
      </c>
      <c r="J125" s="62">
        <v>1</v>
      </c>
      <c r="L125" s="11"/>
      <c r="M125" s="11"/>
      <c r="N125" s="124"/>
      <c r="O125" s="125"/>
    </row>
    <row r="126" spans="1:15">
      <c r="A126" s="15" t="s">
        <v>145</v>
      </c>
      <c r="B126" s="25" t="s">
        <v>85</v>
      </c>
      <c r="C126" s="39">
        <v>1016</v>
      </c>
      <c r="D126" s="9">
        <v>41413</v>
      </c>
      <c r="E126" s="12" t="s">
        <v>206</v>
      </c>
      <c r="F126" s="12" t="s">
        <v>25</v>
      </c>
      <c r="G126" s="10">
        <v>29150.02</v>
      </c>
      <c r="H126" s="10">
        <v>2022.29</v>
      </c>
      <c r="I126" s="10">
        <v>182188.42</v>
      </c>
      <c r="J126" s="62">
        <v>0.5</v>
      </c>
      <c r="L126" s="11"/>
      <c r="M126" s="11"/>
      <c r="N126" s="124"/>
      <c r="O126" s="125"/>
    </row>
    <row r="127" spans="1:15">
      <c r="A127" s="15" t="s">
        <v>145</v>
      </c>
      <c r="B127" s="25" t="s">
        <v>85</v>
      </c>
      <c r="C127" s="39">
        <v>1103</v>
      </c>
      <c r="D127" s="9">
        <v>41413</v>
      </c>
      <c r="E127" s="12" t="s">
        <v>206</v>
      </c>
      <c r="F127" s="12" t="s">
        <v>25</v>
      </c>
      <c r="G127" s="10">
        <v>5883.69</v>
      </c>
      <c r="H127" s="10">
        <v>4081.81</v>
      </c>
      <c r="I127" s="10">
        <v>367730.43</v>
      </c>
      <c r="J127" s="62">
        <v>1</v>
      </c>
      <c r="L127" s="11"/>
      <c r="M127" s="11"/>
      <c r="N127" s="124"/>
      <c r="O127" s="125"/>
    </row>
    <row r="128" spans="1:15">
      <c r="A128" s="15" t="s">
        <v>145</v>
      </c>
      <c r="B128" s="25" t="s">
        <v>85</v>
      </c>
      <c r="C128" s="39">
        <v>1901</v>
      </c>
      <c r="D128" s="9">
        <v>41421</v>
      </c>
      <c r="E128" s="12" t="s">
        <v>206</v>
      </c>
      <c r="F128" s="12" t="s">
        <v>25</v>
      </c>
      <c r="G128" s="10">
        <f>I128*1.6%</f>
        <v>2481.5360000000001</v>
      </c>
      <c r="H128" s="10">
        <v>0</v>
      </c>
      <c r="I128" s="10">
        <v>155096</v>
      </c>
      <c r="J128" s="62">
        <v>0.5</v>
      </c>
      <c r="L128" s="11"/>
      <c r="M128" s="11"/>
      <c r="N128" s="124"/>
      <c r="O128" s="125"/>
    </row>
    <row r="129" spans="1:15">
      <c r="A129" s="15" t="s">
        <v>270</v>
      </c>
      <c r="B129" s="25" t="s">
        <v>273</v>
      </c>
      <c r="C129" s="39">
        <v>62</v>
      </c>
      <c r="D129" s="9">
        <v>41451</v>
      </c>
      <c r="E129" s="12" t="s">
        <v>206</v>
      </c>
      <c r="F129" s="12" t="s">
        <v>25</v>
      </c>
      <c r="G129" s="10">
        <v>3936.26</v>
      </c>
      <c r="H129" s="10">
        <v>1992.73</v>
      </c>
      <c r="I129" s="10">
        <v>246016</v>
      </c>
      <c r="J129" s="34">
        <v>0.5</v>
      </c>
      <c r="L129" s="123" t="str">
        <f>E129</f>
        <v>CAMIS</v>
      </c>
      <c r="M129" s="123" t="s">
        <v>61</v>
      </c>
      <c r="N129" s="124">
        <f>I129</f>
        <v>246016</v>
      </c>
      <c r="O129" s="125">
        <f>J129</f>
        <v>0.5</v>
      </c>
    </row>
    <row r="130" spans="1:15">
      <c r="A130" s="15" t="s">
        <v>270</v>
      </c>
      <c r="B130" s="25" t="s">
        <v>273</v>
      </c>
      <c r="C130" s="39">
        <v>82</v>
      </c>
      <c r="D130" s="9">
        <v>41451</v>
      </c>
      <c r="E130" s="12" t="s">
        <v>206</v>
      </c>
      <c r="F130" s="12" t="s">
        <v>25</v>
      </c>
      <c r="G130" s="10">
        <v>5151.51</v>
      </c>
      <c r="H130" s="10">
        <v>0</v>
      </c>
      <c r="I130" s="10">
        <v>321969.43</v>
      </c>
      <c r="J130" s="34">
        <v>0.5</v>
      </c>
      <c r="L130" s="123" t="str">
        <f>E130</f>
        <v>CAMIS</v>
      </c>
      <c r="M130" s="123" t="s">
        <v>24</v>
      </c>
      <c r="N130" s="124">
        <f>SUM(I130:I135)</f>
        <v>1994522.4200000002</v>
      </c>
      <c r="O130" s="125">
        <f>SUM(J130:J135)</f>
        <v>5</v>
      </c>
    </row>
    <row r="131" spans="1:15">
      <c r="A131" s="15" t="s">
        <v>124</v>
      </c>
      <c r="B131" s="25" t="s">
        <v>85</v>
      </c>
      <c r="C131" s="39">
        <v>712</v>
      </c>
      <c r="D131" s="12">
        <v>41343</v>
      </c>
      <c r="E131" s="12" t="s">
        <v>65</v>
      </c>
      <c r="F131" s="12" t="s">
        <v>25</v>
      </c>
      <c r="G131" s="10">
        <v>5055.78</v>
      </c>
      <c r="H131" s="10"/>
      <c r="I131" s="10">
        <v>186560</v>
      </c>
      <c r="J131" s="34">
        <v>0.5</v>
      </c>
      <c r="L131" s="11"/>
      <c r="M131" s="11"/>
      <c r="N131" s="124"/>
      <c r="O131" s="125"/>
    </row>
    <row r="132" spans="1:15">
      <c r="A132" s="15" t="s">
        <v>145</v>
      </c>
      <c r="B132" s="25" t="s">
        <v>85</v>
      </c>
      <c r="C132" s="39">
        <v>403</v>
      </c>
      <c r="D132" s="9">
        <v>41413</v>
      </c>
      <c r="E132" s="12" t="s">
        <v>65</v>
      </c>
      <c r="F132" s="12" t="s">
        <v>25</v>
      </c>
      <c r="G132" s="10">
        <v>5566.6</v>
      </c>
      <c r="H132" s="10">
        <v>3861.83</v>
      </c>
      <c r="I132" s="10">
        <v>347912.46</v>
      </c>
      <c r="J132" s="62">
        <v>1</v>
      </c>
      <c r="L132" s="11"/>
      <c r="M132" s="11"/>
      <c r="N132" s="124"/>
      <c r="O132" s="125"/>
    </row>
    <row r="133" spans="1:15">
      <c r="A133" s="15" t="s">
        <v>145</v>
      </c>
      <c r="B133" s="25" t="s">
        <v>85</v>
      </c>
      <c r="C133" s="39">
        <v>1108</v>
      </c>
      <c r="D133" s="9">
        <v>41413</v>
      </c>
      <c r="E133" s="12" t="s">
        <v>65</v>
      </c>
      <c r="F133" s="12" t="s">
        <v>25</v>
      </c>
      <c r="G133" s="10">
        <v>6560</v>
      </c>
      <c r="H133" s="10">
        <v>4551</v>
      </c>
      <c r="I133" s="10">
        <v>410000</v>
      </c>
      <c r="J133" s="62">
        <v>1</v>
      </c>
      <c r="L133" s="11"/>
      <c r="M133" s="11"/>
      <c r="N133" s="124"/>
      <c r="O133" s="125"/>
    </row>
    <row r="134" spans="1:15">
      <c r="A134" s="15" t="s">
        <v>145</v>
      </c>
      <c r="B134" s="25" t="s">
        <v>85</v>
      </c>
      <c r="C134" s="39">
        <v>2001</v>
      </c>
      <c r="D134" s="9">
        <v>41408</v>
      </c>
      <c r="E134" s="12" t="s">
        <v>65</v>
      </c>
      <c r="F134" s="12" t="s">
        <v>25</v>
      </c>
      <c r="G134" s="10">
        <v>5956.8</v>
      </c>
      <c r="H134" s="10">
        <v>4132.53</v>
      </c>
      <c r="I134" s="10">
        <v>485939.51</v>
      </c>
      <c r="J134" s="62">
        <v>1</v>
      </c>
      <c r="L134" s="11"/>
      <c r="M134" s="11"/>
      <c r="N134" s="124"/>
      <c r="O134" s="125"/>
    </row>
    <row r="135" spans="1:15">
      <c r="A135" s="15" t="s">
        <v>116</v>
      </c>
      <c r="B135" s="25" t="s">
        <v>117</v>
      </c>
      <c r="C135" s="39">
        <v>105</v>
      </c>
      <c r="D135" s="9">
        <v>41437</v>
      </c>
      <c r="E135" s="12" t="s">
        <v>65</v>
      </c>
      <c r="F135" s="12" t="s">
        <v>25</v>
      </c>
      <c r="G135" s="10">
        <f>I135*2%</f>
        <v>4842.8203999999996</v>
      </c>
      <c r="H135" s="10">
        <f>6164.91-G135</f>
        <v>1322.0896000000002</v>
      </c>
      <c r="I135" s="10">
        <v>242141.02</v>
      </c>
      <c r="J135" s="62">
        <v>1</v>
      </c>
      <c r="L135" s="123" t="str">
        <f>E136</f>
        <v>DANTE</v>
      </c>
      <c r="M135" s="123" t="s">
        <v>26</v>
      </c>
      <c r="N135" s="124">
        <f>SUM(I136:I145)</f>
        <v>4128120.5100000002</v>
      </c>
      <c r="O135" s="125">
        <f>SUM(J136:J145)</f>
        <v>9</v>
      </c>
    </row>
    <row r="136" spans="1:15">
      <c r="A136" s="15" t="s">
        <v>145</v>
      </c>
      <c r="B136" s="25" t="s">
        <v>85</v>
      </c>
      <c r="C136" s="39">
        <v>306</v>
      </c>
      <c r="D136" s="9">
        <v>41413</v>
      </c>
      <c r="E136" s="12" t="s">
        <v>162</v>
      </c>
      <c r="F136" s="12" t="s">
        <v>25</v>
      </c>
      <c r="G136" s="10">
        <v>5810.45</v>
      </c>
      <c r="H136" s="10">
        <v>4031</v>
      </c>
      <c r="I136" s="10">
        <v>363152.84</v>
      </c>
      <c r="J136" s="62">
        <v>1</v>
      </c>
      <c r="L136" s="11"/>
      <c r="M136" s="11"/>
      <c r="N136" s="124"/>
      <c r="O136" s="125"/>
    </row>
    <row r="137" spans="1:15">
      <c r="A137" s="15" t="s">
        <v>145</v>
      </c>
      <c r="B137" s="25" t="s">
        <v>85</v>
      </c>
      <c r="C137" s="39">
        <v>1102</v>
      </c>
      <c r="D137" s="9">
        <v>41411</v>
      </c>
      <c r="E137" s="12" t="s">
        <v>162</v>
      </c>
      <c r="F137" s="12" t="s">
        <v>25</v>
      </c>
      <c r="G137" s="10">
        <v>5019.21</v>
      </c>
      <c r="H137" s="10">
        <v>3482.08</v>
      </c>
      <c r="I137" s="10">
        <v>313700.90999999997</v>
      </c>
      <c r="J137" s="62">
        <v>1</v>
      </c>
      <c r="L137" s="11"/>
      <c r="M137" s="11"/>
      <c r="N137" s="124"/>
      <c r="O137" s="125"/>
    </row>
    <row r="138" spans="1:15">
      <c r="A138" s="15" t="s">
        <v>120</v>
      </c>
      <c r="B138" s="25" t="s">
        <v>113</v>
      </c>
      <c r="C138" s="39">
        <v>96</v>
      </c>
      <c r="D138" s="9">
        <v>41324</v>
      </c>
      <c r="E138" s="12" t="s">
        <v>47</v>
      </c>
      <c r="F138" s="12" t="s">
        <v>25</v>
      </c>
      <c r="G138" s="10">
        <f>I138*2%</f>
        <v>13540.800000000001</v>
      </c>
      <c r="H138" s="10">
        <f>18347.78-G138</f>
        <v>4806.9799999999977</v>
      </c>
      <c r="I138" s="10">
        <v>677040</v>
      </c>
      <c r="J138" s="34">
        <v>1</v>
      </c>
      <c r="L138" s="11"/>
      <c r="M138" s="11"/>
      <c r="N138" s="124"/>
      <c r="O138" s="125"/>
    </row>
    <row r="139" spans="1:15">
      <c r="A139" s="15" t="s">
        <v>53</v>
      </c>
      <c r="B139" s="25" t="s">
        <v>225</v>
      </c>
      <c r="C139" s="39">
        <v>103</v>
      </c>
      <c r="D139" s="12">
        <v>41336</v>
      </c>
      <c r="E139" s="12" t="s">
        <v>47</v>
      </c>
      <c r="F139" s="12" t="s">
        <v>25</v>
      </c>
      <c r="G139" s="10">
        <f>I139*1.6%</f>
        <v>10687.9992</v>
      </c>
      <c r="H139" s="10"/>
      <c r="I139" s="10">
        <v>667999.94999999995</v>
      </c>
      <c r="J139" s="34">
        <v>1</v>
      </c>
      <c r="L139" s="11"/>
      <c r="M139" s="11"/>
      <c r="N139" s="124"/>
      <c r="O139" s="125"/>
    </row>
    <row r="140" spans="1:15">
      <c r="A140" s="15" t="s">
        <v>124</v>
      </c>
      <c r="B140" s="25" t="s">
        <v>85</v>
      </c>
      <c r="C140" s="39">
        <v>102</v>
      </c>
      <c r="D140" s="12">
        <v>41343</v>
      </c>
      <c r="E140" s="12" t="s">
        <v>62</v>
      </c>
      <c r="F140" s="12" t="s">
        <v>25</v>
      </c>
      <c r="G140" s="10">
        <v>5931.65</v>
      </c>
      <c r="H140" s="10"/>
      <c r="I140" s="10">
        <v>218880.01</v>
      </c>
      <c r="J140" s="34">
        <v>0.5</v>
      </c>
      <c r="L140" s="11"/>
      <c r="M140" s="11"/>
      <c r="N140" s="124"/>
      <c r="O140" s="125"/>
    </row>
    <row r="141" spans="1:15">
      <c r="A141" s="15" t="s">
        <v>145</v>
      </c>
      <c r="B141" s="25" t="s">
        <v>85</v>
      </c>
      <c r="C141" s="39">
        <v>314</v>
      </c>
      <c r="D141" s="9">
        <v>41413</v>
      </c>
      <c r="E141" s="12" t="s">
        <v>62</v>
      </c>
      <c r="F141" s="12" t="s">
        <v>25</v>
      </c>
      <c r="G141" s="10">
        <v>5775.99</v>
      </c>
      <c r="H141" s="10">
        <v>584.82000000000005</v>
      </c>
      <c r="I141" s="10">
        <v>360999.37</v>
      </c>
      <c r="J141" s="62">
        <v>1</v>
      </c>
      <c r="L141" s="11"/>
      <c r="M141" s="11"/>
      <c r="N141" s="124"/>
      <c r="O141" s="125"/>
    </row>
    <row r="142" spans="1:15">
      <c r="A142" s="15" t="s">
        <v>145</v>
      </c>
      <c r="B142" s="25" t="s">
        <v>85</v>
      </c>
      <c r="C142" s="39">
        <v>902</v>
      </c>
      <c r="D142" s="9">
        <v>41413</v>
      </c>
      <c r="E142" s="12" t="s">
        <v>62</v>
      </c>
      <c r="F142" s="12" t="s">
        <v>25</v>
      </c>
      <c r="G142" s="10">
        <v>5537.15</v>
      </c>
      <c r="H142" s="10">
        <v>3841.4</v>
      </c>
      <c r="I142" s="10">
        <v>346072</v>
      </c>
      <c r="J142" s="62">
        <v>1</v>
      </c>
      <c r="L142" s="11"/>
      <c r="M142" s="11"/>
      <c r="N142" s="124"/>
      <c r="O142" s="125"/>
    </row>
    <row r="143" spans="1:15">
      <c r="A143" s="15" t="s">
        <v>145</v>
      </c>
      <c r="B143" s="25" t="s">
        <v>85</v>
      </c>
      <c r="C143" s="39">
        <v>912</v>
      </c>
      <c r="D143" s="9">
        <v>41417</v>
      </c>
      <c r="E143" s="12" t="s">
        <v>62</v>
      </c>
      <c r="F143" s="12" t="s">
        <v>25</v>
      </c>
      <c r="G143" s="10">
        <v>5316.53</v>
      </c>
      <c r="H143" s="10">
        <v>3688.34</v>
      </c>
      <c r="I143" s="10">
        <v>332283.03999999998</v>
      </c>
      <c r="J143" s="62">
        <v>0.5</v>
      </c>
      <c r="L143" s="11"/>
      <c r="M143" s="11"/>
      <c r="N143" s="124"/>
      <c r="O143" s="125"/>
    </row>
    <row r="144" spans="1:15">
      <c r="A144" s="15" t="s">
        <v>145</v>
      </c>
      <c r="B144" s="25" t="s">
        <v>85</v>
      </c>
      <c r="C144" s="39">
        <v>1207</v>
      </c>
      <c r="D144" s="9">
        <v>41414</v>
      </c>
      <c r="E144" s="12" t="s">
        <v>62</v>
      </c>
      <c r="F144" s="12" t="s">
        <v>25</v>
      </c>
      <c r="G144" s="10">
        <v>5884.68</v>
      </c>
      <c r="H144" s="10">
        <v>4082.5</v>
      </c>
      <c r="I144" s="10">
        <v>367792.39</v>
      </c>
      <c r="J144" s="62">
        <v>1</v>
      </c>
      <c r="L144" s="11"/>
      <c r="M144" s="11"/>
      <c r="N144" s="124"/>
      <c r="O144" s="125"/>
    </row>
    <row r="145" spans="1:15">
      <c r="A145" s="15" t="s">
        <v>145</v>
      </c>
      <c r="B145" s="25" t="s">
        <v>85</v>
      </c>
      <c r="C145" s="39">
        <v>1513</v>
      </c>
      <c r="D145" s="9">
        <v>41413</v>
      </c>
      <c r="E145" s="12" t="s">
        <v>62</v>
      </c>
      <c r="F145" s="12" t="s">
        <v>25</v>
      </c>
      <c r="G145" s="10">
        <v>7683.2</v>
      </c>
      <c r="H145" s="10">
        <v>5330.22</v>
      </c>
      <c r="I145" s="10">
        <v>480200</v>
      </c>
      <c r="J145" s="62">
        <v>1</v>
      </c>
      <c r="L145" s="123" t="str">
        <f>E146</f>
        <v>ENZO</v>
      </c>
      <c r="M145" s="123" t="s">
        <v>27</v>
      </c>
      <c r="N145" s="124">
        <f>I146</f>
        <v>370981.31</v>
      </c>
      <c r="O145" s="125">
        <f>J146</f>
        <v>1</v>
      </c>
    </row>
    <row r="146" spans="1:15">
      <c r="A146" s="15" t="s">
        <v>145</v>
      </c>
      <c r="B146" s="25" t="s">
        <v>85</v>
      </c>
      <c r="C146" s="39">
        <v>1602</v>
      </c>
      <c r="D146" s="9">
        <v>41413</v>
      </c>
      <c r="E146" s="12" t="s">
        <v>62</v>
      </c>
      <c r="F146" s="12" t="s">
        <v>25</v>
      </c>
      <c r="G146" s="10">
        <v>5935.7</v>
      </c>
      <c r="H146" s="10">
        <v>4117.8900000000003</v>
      </c>
      <c r="I146" s="10">
        <v>370981.31</v>
      </c>
      <c r="J146" s="62">
        <v>1</v>
      </c>
      <c r="L146" s="123" t="str">
        <f>E147</f>
        <v>ENZO</v>
      </c>
      <c r="M146" s="123" t="s">
        <v>23</v>
      </c>
      <c r="N146" s="124">
        <f>SUM(I147:I153)</f>
        <v>4171477.0500000003</v>
      </c>
      <c r="O146" s="125">
        <f>SUM(J147:J153)</f>
        <v>7</v>
      </c>
    </row>
    <row r="147" spans="1:15">
      <c r="A147" s="15" t="s">
        <v>145</v>
      </c>
      <c r="B147" s="25" t="s">
        <v>85</v>
      </c>
      <c r="C147" s="39">
        <v>2508</v>
      </c>
      <c r="D147" s="9">
        <v>41408</v>
      </c>
      <c r="E147" s="12" t="s">
        <v>62</v>
      </c>
      <c r="F147" s="12" t="s">
        <v>25</v>
      </c>
      <c r="G147" s="10">
        <v>6996.8</v>
      </c>
      <c r="H147" s="10">
        <v>4854.03</v>
      </c>
      <c r="I147" s="10">
        <v>437300</v>
      </c>
      <c r="J147" s="62">
        <v>1</v>
      </c>
      <c r="L147" s="11"/>
      <c r="M147" s="11"/>
      <c r="N147" s="124"/>
      <c r="O147" s="125"/>
    </row>
    <row r="148" spans="1:15">
      <c r="A148" s="15" t="s">
        <v>145</v>
      </c>
      <c r="B148" s="25" t="s">
        <v>85</v>
      </c>
      <c r="C148" s="39">
        <v>1202</v>
      </c>
      <c r="D148" s="9">
        <v>41441</v>
      </c>
      <c r="E148" s="12" t="s">
        <v>62</v>
      </c>
      <c r="F148" s="12" t="s">
        <v>25</v>
      </c>
      <c r="G148" s="10">
        <v>4979.8599999999997</v>
      </c>
      <c r="H148" s="10">
        <v>3454.78</v>
      </c>
      <c r="I148" s="10">
        <v>311241.55</v>
      </c>
      <c r="J148" s="62">
        <v>1</v>
      </c>
      <c r="L148" s="11"/>
      <c r="M148" s="11"/>
      <c r="N148" s="124"/>
      <c r="O148" s="125"/>
    </row>
    <row r="149" spans="1:15">
      <c r="A149" s="15" t="s">
        <v>54</v>
      </c>
      <c r="B149" s="25" t="s">
        <v>58</v>
      </c>
      <c r="C149" s="39">
        <v>181</v>
      </c>
      <c r="D149" s="9">
        <v>41346</v>
      </c>
      <c r="E149" s="12" t="s">
        <v>59</v>
      </c>
      <c r="F149" s="12" t="s">
        <v>25</v>
      </c>
      <c r="G149" s="10">
        <f>I149*0.4%</f>
        <v>3400</v>
      </c>
      <c r="H149" s="10"/>
      <c r="I149" s="10">
        <v>850000</v>
      </c>
      <c r="J149" s="34">
        <v>1</v>
      </c>
      <c r="L149" s="11"/>
      <c r="M149" s="11"/>
      <c r="N149" s="124"/>
      <c r="O149" s="125"/>
    </row>
    <row r="150" spans="1:15">
      <c r="A150" s="15" t="s">
        <v>54</v>
      </c>
      <c r="B150" s="25" t="s">
        <v>58</v>
      </c>
      <c r="C150" s="39">
        <v>192</v>
      </c>
      <c r="D150" s="12">
        <v>41370</v>
      </c>
      <c r="E150" s="12" t="s">
        <v>59</v>
      </c>
      <c r="F150" s="12" t="s">
        <v>25</v>
      </c>
      <c r="G150" s="10">
        <f>I150*2%</f>
        <v>17246.191200000001</v>
      </c>
      <c r="H150" s="10"/>
      <c r="I150" s="10">
        <v>862309.56</v>
      </c>
      <c r="J150" s="34">
        <v>1</v>
      </c>
      <c r="L150" s="11"/>
      <c r="M150" s="11"/>
      <c r="N150" s="124"/>
      <c r="O150" s="125"/>
    </row>
    <row r="151" spans="1:15">
      <c r="A151" s="15" t="s">
        <v>270</v>
      </c>
      <c r="B151" s="25" t="s">
        <v>271</v>
      </c>
      <c r="C151" s="39">
        <v>83</v>
      </c>
      <c r="D151" s="9">
        <v>41451</v>
      </c>
      <c r="E151" s="12" t="s">
        <v>59</v>
      </c>
      <c r="F151" s="12" t="s">
        <v>25</v>
      </c>
      <c r="G151" s="10">
        <v>8396.19</v>
      </c>
      <c r="H151" s="10">
        <v>4250.57</v>
      </c>
      <c r="I151" s="10">
        <v>524761.81000000006</v>
      </c>
      <c r="J151" s="62">
        <v>1</v>
      </c>
      <c r="L151" s="11"/>
      <c r="M151" s="11"/>
      <c r="N151" s="124"/>
      <c r="O151" s="125"/>
    </row>
    <row r="152" spans="1:15">
      <c r="A152" s="15" t="s">
        <v>270</v>
      </c>
      <c r="B152" s="25" t="s">
        <v>272</v>
      </c>
      <c r="C152" s="39">
        <v>33</v>
      </c>
      <c r="D152" s="9">
        <v>41453</v>
      </c>
      <c r="E152" s="12" t="s">
        <v>59</v>
      </c>
      <c r="F152" s="12" t="s">
        <v>25</v>
      </c>
      <c r="G152" s="10">
        <v>9452.3700000000008</v>
      </c>
      <c r="H152" s="10">
        <v>4785.26</v>
      </c>
      <c r="I152" s="10">
        <v>590773.03</v>
      </c>
      <c r="J152" s="62">
        <v>1</v>
      </c>
      <c r="L152" s="11"/>
      <c r="M152" s="11"/>
      <c r="N152" s="124"/>
      <c r="O152" s="125"/>
    </row>
    <row r="153" spans="1:15">
      <c r="A153" s="15" t="s">
        <v>120</v>
      </c>
      <c r="B153" s="25" t="s">
        <v>113</v>
      </c>
      <c r="C153" s="39">
        <v>32</v>
      </c>
      <c r="D153" s="9">
        <v>41323</v>
      </c>
      <c r="E153" s="12" t="s">
        <v>46</v>
      </c>
      <c r="F153" s="12" t="s">
        <v>25</v>
      </c>
      <c r="G153" s="10">
        <v>9521.4599999999991</v>
      </c>
      <c r="H153" s="10">
        <v>0</v>
      </c>
      <c r="I153" s="10">
        <v>595091.1</v>
      </c>
      <c r="J153" s="34">
        <v>1</v>
      </c>
      <c r="L153" s="123" t="str">
        <f>E154</f>
        <v>GREGORIO</v>
      </c>
      <c r="M153" s="123" t="s">
        <v>27</v>
      </c>
      <c r="N153" s="124">
        <f>SUM(I154:I155)</f>
        <v>388000.01</v>
      </c>
      <c r="O153" s="125">
        <f>SUM(J154:J155)</f>
        <v>2</v>
      </c>
    </row>
    <row r="154" spans="1:15">
      <c r="A154" s="15" t="s">
        <v>114</v>
      </c>
      <c r="B154" s="25" t="s">
        <v>137</v>
      </c>
      <c r="C154" s="39">
        <v>106</v>
      </c>
      <c r="D154" s="9">
        <v>41295</v>
      </c>
      <c r="E154" s="12" t="s">
        <v>31</v>
      </c>
      <c r="F154" s="12" t="s">
        <v>25</v>
      </c>
      <c r="G154" s="10">
        <v>3281</v>
      </c>
      <c r="H154" s="10">
        <f>3281-G154</f>
        <v>0</v>
      </c>
      <c r="I154" s="10">
        <v>193000.01</v>
      </c>
      <c r="J154" s="34">
        <v>1</v>
      </c>
      <c r="L154" s="11"/>
      <c r="M154" s="11"/>
      <c r="N154" s="124"/>
      <c r="O154" s="125"/>
    </row>
    <row r="155" spans="1:15">
      <c r="A155" s="15" t="s">
        <v>230</v>
      </c>
      <c r="B155" s="25" t="s">
        <v>245</v>
      </c>
      <c r="C155" s="39">
        <v>132</v>
      </c>
      <c r="D155" s="12">
        <v>41326</v>
      </c>
      <c r="E155" s="12" t="s">
        <v>31</v>
      </c>
      <c r="F155" s="12" t="s">
        <v>25</v>
      </c>
      <c r="G155" s="10">
        <f>I155*0.5%</f>
        <v>975</v>
      </c>
      <c r="H155" s="10">
        <f>3900-G155</f>
        <v>2925</v>
      </c>
      <c r="I155" s="10">
        <v>195000</v>
      </c>
      <c r="J155" s="34">
        <v>1</v>
      </c>
      <c r="L155" s="123" t="str">
        <f>E156</f>
        <v>GREGORIO</v>
      </c>
      <c r="M155" s="123" t="s">
        <v>61</v>
      </c>
      <c r="N155" s="124">
        <f>SUM(I156:I162)</f>
        <v>4505773.21</v>
      </c>
      <c r="O155" s="125">
        <f>SUM(J156:J162)</f>
        <v>7</v>
      </c>
    </row>
    <row r="156" spans="1:15">
      <c r="A156" s="15" t="s">
        <v>230</v>
      </c>
      <c r="B156" s="25" t="s">
        <v>231</v>
      </c>
      <c r="C156" s="39">
        <v>104</v>
      </c>
      <c r="D156" s="9">
        <v>41340</v>
      </c>
      <c r="E156" s="12" t="s">
        <v>31</v>
      </c>
      <c r="F156" s="12" t="s">
        <v>25</v>
      </c>
      <c r="G156" s="10">
        <f>I156*1.7%</f>
        <v>4096.3339400000004</v>
      </c>
      <c r="H156" s="10"/>
      <c r="I156" s="10">
        <v>240960.82</v>
      </c>
      <c r="J156" s="34">
        <v>1</v>
      </c>
      <c r="L156" s="11"/>
      <c r="M156" s="11"/>
      <c r="N156" s="124"/>
      <c r="O156" s="125"/>
    </row>
    <row r="157" spans="1:15">
      <c r="A157" s="15" t="s">
        <v>270</v>
      </c>
      <c r="B157" s="25" t="s">
        <v>278</v>
      </c>
      <c r="C157" s="39">
        <v>34</v>
      </c>
      <c r="D157" s="9">
        <v>41455</v>
      </c>
      <c r="E157" s="12" t="s">
        <v>304</v>
      </c>
      <c r="F157" s="12" t="s">
        <v>25</v>
      </c>
      <c r="G157" s="10">
        <v>10142.64</v>
      </c>
      <c r="H157" s="10">
        <v>5134.71</v>
      </c>
      <c r="I157" s="10">
        <v>633914.91</v>
      </c>
      <c r="J157" s="62">
        <v>1</v>
      </c>
      <c r="L157" s="11"/>
      <c r="M157" s="11"/>
      <c r="N157" s="124"/>
      <c r="O157" s="125"/>
    </row>
    <row r="158" spans="1:15">
      <c r="A158" s="15" t="s">
        <v>270</v>
      </c>
      <c r="B158" s="25" t="s">
        <v>271</v>
      </c>
      <c r="C158" s="39">
        <v>74</v>
      </c>
      <c r="D158" s="9">
        <v>41451</v>
      </c>
      <c r="E158" s="12" t="s">
        <v>302</v>
      </c>
      <c r="F158" s="12" t="s">
        <v>25</v>
      </c>
      <c r="G158" s="10">
        <v>6451.27</v>
      </c>
      <c r="H158" s="10">
        <v>3265.96</v>
      </c>
      <c r="I158" s="10">
        <v>403204.43</v>
      </c>
      <c r="J158" s="34">
        <v>1</v>
      </c>
      <c r="L158" s="11"/>
      <c r="M158" s="11"/>
      <c r="N158" s="124"/>
      <c r="O158" s="125"/>
    </row>
    <row r="159" spans="1:15">
      <c r="A159" s="15" t="s">
        <v>270</v>
      </c>
      <c r="B159" s="25" t="s">
        <v>272</v>
      </c>
      <c r="C159" s="39">
        <v>64</v>
      </c>
      <c r="D159" s="9">
        <v>41450</v>
      </c>
      <c r="E159" s="12" t="s">
        <v>302</v>
      </c>
      <c r="F159" s="12" t="s">
        <v>25</v>
      </c>
      <c r="G159" s="10">
        <v>10659.52</v>
      </c>
      <c r="H159" s="10">
        <v>5396.38</v>
      </c>
      <c r="I159" s="10">
        <v>666220.05000000005</v>
      </c>
      <c r="J159" s="34">
        <v>1</v>
      </c>
      <c r="L159" s="11"/>
      <c r="M159" s="11"/>
      <c r="N159" s="124"/>
      <c r="O159" s="125"/>
    </row>
    <row r="160" spans="1:15">
      <c r="A160" s="15" t="s">
        <v>270</v>
      </c>
      <c r="B160" s="25" t="s">
        <v>273</v>
      </c>
      <c r="C160" s="39">
        <v>58</v>
      </c>
      <c r="D160" s="9">
        <v>41452</v>
      </c>
      <c r="E160" s="12" t="s">
        <v>302</v>
      </c>
      <c r="F160" s="12" t="s">
        <v>25</v>
      </c>
      <c r="G160" s="10">
        <v>6103.57</v>
      </c>
      <c r="H160" s="10">
        <v>3089.93</v>
      </c>
      <c r="I160" s="10">
        <v>381473</v>
      </c>
      <c r="J160" s="34">
        <v>1</v>
      </c>
      <c r="L160" s="11"/>
      <c r="M160" s="11"/>
      <c r="N160" s="124"/>
      <c r="O160" s="125"/>
    </row>
    <row r="161" spans="1:15">
      <c r="A161" s="15" t="s">
        <v>270</v>
      </c>
      <c r="B161" s="25" t="s">
        <v>201</v>
      </c>
      <c r="C161" s="42" t="s">
        <v>303</v>
      </c>
      <c r="D161" s="9">
        <v>41451</v>
      </c>
      <c r="E161" s="12" t="s">
        <v>302</v>
      </c>
      <c r="F161" s="12" t="s">
        <v>25</v>
      </c>
      <c r="G161" s="10">
        <v>480</v>
      </c>
      <c r="H161" s="10">
        <v>0</v>
      </c>
      <c r="I161" s="10">
        <v>30000</v>
      </c>
      <c r="J161" s="62">
        <v>1</v>
      </c>
      <c r="L161" s="11"/>
      <c r="M161" s="11"/>
      <c r="N161" s="124"/>
      <c r="O161" s="125"/>
    </row>
    <row r="162" spans="1:15">
      <c r="A162" s="15" t="s">
        <v>89</v>
      </c>
      <c r="B162" s="25" t="s">
        <v>85</v>
      </c>
      <c r="C162" s="39">
        <v>51</v>
      </c>
      <c r="D162" s="9">
        <v>41411</v>
      </c>
      <c r="E162" s="12" t="s">
        <v>173</v>
      </c>
      <c r="F162" s="12" t="s">
        <v>25</v>
      </c>
      <c r="G162" s="10">
        <v>43000</v>
      </c>
      <c r="H162" s="10">
        <v>23865</v>
      </c>
      <c r="I162" s="10">
        <v>2150000</v>
      </c>
      <c r="J162" s="62">
        <v>1</v>
      </c>
      <c r="L162" s="123" t="str">
        <f>E163</f>
        <v>LEANDRO</v>
      </c>
      <c r="M162" s="123" t="s">
        <v>26</v>
      </c>
      <c r="N162" s="124">
        <f>SUM(I163:I164)</f>
        <v>1564500</v>
      </c>
      <c r="O162" s="125">
        <f>SUM(J163:J164)</f>
        <v>1.5</v>
      </c>
    </row>
    <row r="163" spans="1:15">
      <c r="A163" s="15" t="s">
        <v>89</v>
      </c>
      <c r="B163" s="25" t="s">
        <v>85</v>
      </c>
      <c r="C163" s="39">
        <v>192</v>
      </c>
      <c r="D163" s="9">
        <v>41425</v>
      </c>
      <c r="E163" s="12" t="s">
        <v>173</v>
      </c>
      <c r="F163" s="12" t="s">
        <v>25</v>
      </c>
      <c r="G163" s="10">
        <v>24000</v>
      </c>
      <c r="H163" s="10">
        <v>13320</v>
      </c>
      <c r="I163" s="10">
        <v>1200000</v>
      </c>
      <c r="J163" s="62">
        <v>0.5</v>
      </c>
      <c r="L163" s="11"/>
      <c r="M163" s="11"/>
      <c r="N163" s="124"/>
      <c r="O163" s="125"/>
    </row>
    <row r="164" spans="1:15">
      <c r="A164" s="15" t="s">
        <v>233</v>
      </c>
      <c r="B164" s="25" t="s">
        <v>113</v>
      </c>
      <c r="C164" s="39">
        <v>158</v>
      </c>
      <c r="D164" s="9">
        <v>41324</v>
      </c>
      <c r="E164" s="12" t="s">
        <v>48</v>
      </c>
      <c r="F164" s="12" t="s">
        <v>25</v>
      </c>
      <c r="G164" s="10">
        <f>I164*2%</f>
        <v>7290</v>
      </c>
      <c r="H164" s="10">
        <f>16038-G164</f>
        <v>8748</v>
      </c>
      <c r="I164" s="10">
        <v>364500</v>
      </c>
      <c r="J164" s="34">
        <v>1</v>
      </c>
      <c r="L164" s="123" t="str">
        <f>E165</f>
        <v>LIBERATO</v>
      </c>
      <c r="M164" s="123" t="s">
        <v>61</v>
      </c>
      <c r="N164" s="124">
        <f>I165</f>
        <v>373011.03</v>
      </c>
      <c r="O164" s="125">
        <f>J165</f>
        <v>1</v>
      </c>
    </row>
    <row r="165" spans="1:15">
      <c r="A165" s="15" t="s">
        <v>233</v>
      </c>
      <c r="B165" s="25" t="s">
        <v>225</v>
      </c>
      <c r="C165" s="39">
        <v>54</v>
      </c>
      <c r="D165" s="12">
        <v>41352</v>
      </c>
      <c r="E165" s="12" t="s">
        <v>48</v>
      </c>
      <c r="F165" s="12" t="s">
        <v>25</v>
      </c>
      <c r="G165" s="10">
        <f>I165*2%</f>
        <v>7460.2206000000006</v>
      </c>
      <c r="H165" s="10"/>
      <c r="I165" s="10">
        <v>373011.03</v>
      </c>
      <c r="J165" s="34">
        <v>1</v>
      </c>
      <c r="L165" s="123" t="str">
        <f>E166</f>
        <v>LIBERATO</v>
      </c>
      <c r="M165" s="123" t="s">
        <v>23</v>
      </c>
      <c r="N165" s="124">
        <f>SUM(I166:I170)</f>
        <v>1695327.4600000002</v>
      </c>
      <c r="O165" s="125">
        <f>SUM(J166:J170)</f>
        <v>4</v>
      </c>
    </row>
    <row r="166" spans="1:15">
      <c r="A166" s="15" t="s">
        <v>233</v>
      </c>
      <c r="B166" s="25" t="s">
        <v>225</v>
      </c>
      <c r="C166" s="39">
        <v>124</v>
      </c>
      <c r="D166" s="12">
        <v>41354</v>
      </c>
      <c r="E166" s="12" t="s">
        <v>48</v>
      </c>
      <c r="F166" s="12" t="s">
        <v>25</v>
      </c>
      <c r="G166" s="10">
        <f>I166*2%</f>
        <v>7594.7</v>
      </c>
      <c r="H166" s="10"/>
      <c r="I166" s="10">
        <v>379735</v>
      </c>
      <c r="J166" s="34">
        <v>1</v>
      </c>
      <c r="L166" s="11"/>
      <c r="M166" s="11"/>
      <c r="N166" s="124"/>
      <c r="O166" s="125"/>
    </row>
    <row r="167" spans="1:15">
      <c r="A167" s="15" t="s">
        <v>233</v>
      </c>
      <c r="B167" s="25" t="s">
        <v>85</v>
      </c>
      <c r="C167" s="39">
        <v>166</v>
      </c>
      <c r="D167" s="9">
        <v>41360</v>
      </c>
      <c r="E167" s="12" t="s">
        <v>48</v>
      </c>
      <c r="F167" s="12" t="s">
        <v>25</v>
      </c>
      <c r="G167" s="10">
        <v>16676</v>
      </c>
      <c r="H167" s="10"/>
      <c r="I167" s="10">
        <v>379000</v>
      </c>
      <c r="J167" s="62">
        <v>1</v>
      </c>
      <c r="L167" s="11"/>
      <c r="M167" s="11"/>
      <c r="N167" s="124"/>
      <c r="O167" s="125"/>
    </row>
    <row r="168" spans="1:15">
      <c r="A168" s="15" t="s">
        <v>145</v>
      </c>
      <c r="B168" s="25" t="s">
        <v>85</v>
      </c>
      <c r="C168" s="39">
        <v>912</v>
      </c>
      <c r="D168" s="9">
        <v>41417</v>
      </c>
      <c r="E168" s="12" t="s">
        <v>48</v>
      </c>
      <c r="F168" s="12" t="s">
        <v>25</v>
      </c>
      <c r="G168" s="10">
        <v>5316.53</v>
      </c>
      <c r="H168" s="10">
        <v>3688.34</v>
      </c>
      <c r="I168" s="10">
        <v>332283.03999999998</v>
      </c>
      <c r="J168" s="62">
        <v>0.5</v>
      </c>
      <c r="L168" s="11"/>
      <c r="M168" s="11"/>
      <c r="N168" s="124"/>
      <c r="O168" s="125"/>
    </row>
    <row r="169" spans="1:15">
      <c r="A169" s="15" t="s">
        <v>145</v>
      </c>
      <c r="B169" s="25" t="s">
        <v>85</v>
      </c>
      <c r="C169" s="42">
        <v>1006</v>
      </c>
      <c r="D169" s="9">
        <v>41417</v>
      </c>
      <c r="E169" s="12" t="s">
        <v>48</v>
      </c>
      <c r="F169" s="12" t="s">
        <v>25</v>
      </c>
      <c r="G169" s="10">
        <v>6208.56</v>
      </c>
      <c r="H169" s="10">
        <v>4307.1899999999996</v>
      </c>
      <c r="I169" s="10">
        <v>388035.08</v>
      </c>
      <c r="J169" s="62">
        <v>1</v>
      </c>
      <c r="L169" s="11"/>
      <c r="M169" s="11"/>
      <c r="N169" s="124"/>
      <c r="O169" s="125"/>
    </row>
    <row r="170" spans="1:15">
      <c r="A170" s="15" t="s">
        <v>124</v>
      </c>
      <c r="B170" s="25" t="s">
        <v>85</v>
      </c>
      <c r="C170" s="39">
        <v>612</v>
      </c>
      <c r="D170" s="12">
        <v>41343</v>
      </c>
      <c r="E170" s="12" t="s">
        <v>63</v>
      </c>
      <c r="F170" s="12" t="s">
        <v>25</v>
      </c>
      <c r="G170" s="10">
        <v>5861.03</v>
      </c>
      <c r="H170" s="10"/>
      <c r="I170" s="10">
        <v>216274.34</v>
      </c>
      <c r="J170" s="34">
        <v>0.5</v>
      </c>
      <c r="L170" s="123" t="str">
        <f>E171</f>
        <v>MITUI</v>
      </c>
      <c r="M170" s="123" t="s">
        <v>25</v>
      </c>
      <c r="N170" s="124">
        <f>SUM(I171:I174)</f>
        <v>1716641.8900000001</v>
      </c>
      <c r="O170" s="125">
        <f>SUM(J171:J174)</f>
        <v>3.5</v>
      </c>
    </row>
    <row r="171" spans="1:15">
      <c r="A171" s="15" t="s">
        <v>124</v>
      </c>
      <c r="B171" s="25" t="s">
        <v>85</v>
      </c>
      <c r="C171" s="39">
        <v>1104</v>
      </c>
      <c r="D171" s="9">
        <v>41343</v>
      </c>
      <c r="E171" s="12" t="s">
        <v>63</v>
      </c>
      <c r="F171" s="12" t="s">
        <v>25</v>
      </c>
      <c r="G171" s="10">
        <v>13061.57</v>
      </c>
      <c r="H171" s="10"/>
      <c r="I171" s="10">
        <v>481976.8</v>
      </c>
      <c r="J171" s="34">
        <v>1</v>
      </c>
      <c r="L171" s="11"/>
      <c r="M171" s="11"/>
      <c r="N171" s="124"/>
      <c r="O171" s="125"/>
    </row>
    <row r="172" spans="1:15">
      <c r="A172" s="15" t="s">
        <v>145</v>
      </c>
      <c r="B172" s="25" t="s">
        <v>85</v>
      </c>
      <c r="C172" s="39">
        <v>506</v>
      </c>
      <c r="D172" s="9">
        <v>41403</v>
      </c>
      <c r="E172" s="12" t="s">
        <v>63</v>
      </c>
      <c r="F172" s="12" t="s">
        <v>25</v>
      </c>
      <c r="G172" s="10">
        <v>5791.01</v>
      </c>
      <c r="H172" s="10">
        <v>4017.51</v>
      </c>
      <c r="I172" s="10">
        <v>361938</v>
      </c>
      <c r="J172" s="62">
        <v>1</v>
      </c>
      <c r="L172" s="11"/>
      <c r="M172" s="11"/>
      <c r="N172" s="124"/>
      <c r="O172" s="125"/>
    </row>
    <row r="173" spans="1:15">
      <c r="A173" s="15" t="s">
        <v>145</v>
      </c>
      <c r="B173" s="25" t="s">
        <v>85</v>
      </c>
      <c r="C173" s="39">
        <v>1110</v>
      </c>
      <c r="D173" s="9">
        <v>41413</v>
      </c>
      <c r="E173" s="12" t="s">
        <v>63</v>
      </c>
      <c r="F173" s="12" t="s">
        <v>25</v>
      </c>
      <c r="G173" s="10">
        <v>2844.8</v>
      </c>
      <c r="H173" s="10">
        <v>1973.58</v>
      </c>
      <c r="I173" s="10">
        <v>177799.85</v>
      </c>
      <c r="J173" s="62">
        <v>0.5</v>
      </c>
      <c r="L173" s="11"/>
      <c r="M173" s="11"/>
      <c r="N173" s="124"/>
      <c r="O173" s="125"/>
    </row>
    <row r="174" spans="1:15">
      <c r="A174" s="15" t="s">
        <v>145</v>
      </c>
      <c r="B174" s="25" t="s">
        <v>85</v>
      </c>
      <c r="C174" s="39">
        <v>2105</v>
      </c>
      <c r="D174" s="9">
        <v>41413</v>
      </c>
      <c r="E174" s="12" t="s">
        <v>63</v>
      </c>
      <c r="F174" s="12" t="s">
        <v>25</v>
      </c>
      <c r="G174" s="10">
        <v>11118.84</v>
      </c>
      <c r="H174" s="10">
        <v>7713.69</v>
      </c>
      <c r="I174" s="10">
        <v>694927.24</v>
      </c>
      <c r="J174" s="62">
        <v>1</v>
      </c>
      <c r="L174" s="123" t="str">
        <f>E175</f>
        <v>MITUI</v>
      </c>
      <c r="M174" s="123" t="s">
        <v>27</v>
      </c>
      <c r="N174" s="124">
        <f>SUM(I175:I179)</f>
        <v>1770137.3699999999</v>
      </c>
      <c r="O174" s="125">
        <f>SUM(J175:J179)</f>
        <v>4</v>
      </c>
    </row>
    <row r="175" spans="1:15">
      <c r="A175" s="15" t="s">
        <v>270</v>
      </c>
      <c r="B175" s="25" t="s">
        <v>273</v>
      </c>
      <c r="C175" s="39">
        <v>62</v>
      </c>
      <c r="D175" s="9">
        <v>41451</v>
      </c>
      <c r="E175" s="12" t="s">
        <v>63</v>
      </c>
      <c r="F175" s="12" t="s">
        <v>25</v>
      </c>
      <c r="G175" s="10">
        <v>3936.26</v>
      </c>
      <c r="H175" s="10">
        <v>1992.73</v>
      </c>
      <c r="I175" s="10">
        <v>246016</v>
      </c>
      <c r="J175" s="34">
        <v>0.5</v>
      </c>
      <c r="L175" s="11"/>
      <c r="M175" s="11"/>
      <c r="N175" s="124"/>
      <c r="O175" s="125"/>
    </row>
    <row r="176" spans="1:15">
      <c r="A176" s="15" t="s">
        <v>270</v>
      </c>
      <c r="B176" s="25" t="s">
        <v>273</v>
      </c>
      <c r="C176" s="39">
        <v>82</v>
      </c>
      <c r="D176" s="9">
        <v>41451</v>
      </c>
      <c r="E176" s="12" t="s">
        <v>63</v>
      </c>
      <c r="F176" s="12" t="s">
        <v>25</v>
      </c>
      <c r="G176" s="10">
        <v>5151.51</v>
      </c>
      <c r="H176" s="10">
        <v>0</v>
      </c>
      <c r="I176" s="10">
        <v>321969.43</v>
      </c>
      <c r="J176" s="34">
        <v>0.5</v>
      </c>
      <c r="L176" s="11"/>
      <c r="M176" s="11"/>
      <c r="N176" s="124"/>
      <c r="O176" s="125"/>
    </row>
    <row r="177" spans="1:15">
      <c r="A177" s="15" t="s">
        <v>124</v>
      </c>
      <c r="B177" s="25" t="s">
        <v>85</v>
      </c>
      <c r="C177" s="39">
        <v>907</v>
      </c>
      <c r="D177" s="9">
        <v>41343</v>
      </c>
      <c r="E177" s="12" t="s">
        <v>313</v>
      </c>
      <c r="F177" s="12" t="s">
        <v>25</v>
      </c>
      <c r="G177" s="10">
        <v>12979.06</v>
      </c>
      <c r="H177" s="10"/>
      <c r="I177" s="10">
        <v>478931.95</v>
      </c>
      <c r="J177" s="34">
        <v>1</v>
      </c>
      <c r="L177" s="11"/>
      <c r="M177" s="11"/>
      <c r="N177" s="124"/>
      <c r="O177" s="125"/>
    </row>
    <row r="178" spans="1:15">
      <c r="A178" s="15" t="s">
        <v>124</v>
      </c>
      <c r="B178" s="25" t="s">
        <v>85</v>
      </c>
      <c r="C178" s="39">
        <v>908</v>
      </c>
      <c r="D178" s="9">
        <v>41343</v>
      </c>
      <c r="E178" s="12" t="s">
        <v>313</v>
      </c>
      <c r="F178" s="12" t="s">
        <v>25</v>
      </c>
      <c r="G178" s="10">
        <v>13230.76</v>
      </c>
      <c r="H178" s="10"/>
      <c r="I178" s="10">
        <v>488219.99</v>
      </c>
      <c r="J178" s="34">
        <v>1</v>
      </c>
      <c r="L178" s="11"/>
      <c r="M178" s="11"/>
      <c r="N178" s="124"/>
      <c r="O178" s="125"/>
    </row>
    <row r="179" spans="1:15">
      <c r="A179" s="15" t="s">
        <v>204</v>
      </c>
      <c r="B179" s="25" t="s">
        <v>211</v>
      </c>
      <c r="C179" s="39">
        <v>45</v>
      </c>
      <c r="D179" s="12">
        <v>41373</v>
      </c>
      <c r="E179" s="12" t="s">
        <v>313</v>
      </c>
      <c r="F179" s="12" t="s">
        <v>25</v>
      </c>
      <c r="G179" s="10">
        <f>I179*2%</f>
        <v>4700</v>
      </c>
      <c r="H179" s="10"/>
      <c r="I179" s="10">
        <v>235000</v>
      </c>
      <c r="J179" s="34">
        <v>1</v>
      </c>
      <c r="L179" s="123" t="str">
        <f>E180</f>
        <v>THIAGO</v>
      </c>
      <c r="M179" s="123" t="s">
        <v>23</v>
      </c>
      <c r="N179" s="124">
        <f>SUM(I180:I184)</f>
        <v>1873641.75</v>
      </c>
      <c r="O179" s="125">
        <f>SUM(J180:J184)</f>
        <v>4.5</v>
      </c>
    </row>
    <row r="180" spans="1:15">
      <c r="A180" s="15" t="s">
        <v>145</v>
      </c>
      <c r="B180" s="25" t="s">
        <v>85</v>
      </c>
      <c r="C180" s="39">
        <v>507</v>
      </c>
      <c r="D180" s="9">
        <v>41413</v>
      </c>
      <c r="E180" s="12" t="s">
        <v>313</v>
      </c>
      <c r="F180" s="12" t="s">
        <v>25</v>
      </c>
      <c r="G180" s="10">
        <v>2863.2</v>
      </c>
      <c r="H180" s="10">
        <v>1986.35</v>
      </c>
      <c r="I180" s="10">
        <v>178950</v>
      </c>
      <c r="J180" s="62">
        <v>0.5</v>
      </c>
      <c r="L180" s="11"/>
      <c r="M180" s="11"/>
      <c r="N180" s="124"/>
      <c r="O180" s="125"/>
    </row>
    <row r="181" spans="1:15">
      <c r="A181" s="15" t="s">
        <v>145</v>
      </c>
      <c r="B181" s="25" t="s">
        <v>85</v>
      </c>
      <c r="C181" s="39">
        <v>1203</v>
      </c>
      <c r="D181" s="9">
        <v>41413</v>
      </c>
      <c r="E181" s="12" t="s">
        <v>313</v>
      </c>
      <c r="F181" s="12" t="s">
        <v>25</v>
      </c>
      <c r="G181" s="10">
        <v>5290.44</v>
      </c>
      <c r="H181" s="10">
        <v>3670.24</v>
      </c>
      <c r="I181" s="10">
        <v>330652.24</v>
      </c>
      <c r="J181" s="62">
        <v>1</v>
      </c>
      <c r="L181" s="123"/>
      <c r="M181" s="123"/>
      <c r="N181" s="124"/>
      <c r="O181" s="125"/>
    </row>
    <row r="182" spans="1:15">
      <c r="A182" s="15" t="s">
        <v>145</v>
      </c>
      <c r="B182" s="25" t="s">
        <v>85</v>
      </c>
      <c r="C182" s="39">
        <v>2009</v>
      </c>
      <c r="D182" s="9">
        <v>41413</v>
      </c>
      <c r="E182" s="12" t="s">
        <v>313</v>
      </c>
      <c r="F182" s="12" t="s">
        <v>25</v>
      </c>
      <c r="G182" s="10">
        <v>7775.03</v>
      </c>
      <c r="H182" s="10">
        <v>5393.93</v>
      </c>
      <c r="I182" s="10">
        <v>485939.51</v>
      </c>
      <c r="J182" s="62">
        <v>1</v>
      </c>
      <c r="L182" s="11"/>
      <c r="M182" s="11"/>
      <c r="N182" s="124"/>
      <c r="O182" s="125"/>
    </row>
    <row r="183" spans="1:15">
      <c r="A183" s="15" t="s">
        <v>208</v>
      </c>
      <c r="B183" s="25" t="s">
        <v>88</v>
      </c>
      <c r="C183" s="42">
        <v>154</v>
      </c>
      <c r="D183" s="9">
        <v>41377</v>
      </c>
      <c r="E183" s="12" t="s">
        <v>44</v>
      </c>
      <c r="F183" s="12" t="s">
        <v>25</v>
      </c>
      <c r="G183" s="10">
        <f>I183*2%</f>
        <v>5102</v>
      </c>
      <c r="H183" s="10"/>
      <c r="I183" s="10">
        <v>255100</v>
      </c>
      <c r="J183" s="62">
        <v>1</v>
      </c>
      <c r="L183" s="11"/>
      <c r="M183" s="11"/>
      <c r="N183" s="124"/>
      <c r="O183" s="125"/>
    </row>
    <row r="184" spans="1:15">
      <c r="A184" s="15" t="s">
        <v>120</v>
      </c>
      <c r="B184" s="25" t="s">
        <v>85</v>
      </c>
      <c r="C184" s="42">
        <v>22</v>
      </c>
      <c r="D184" s="9">
        <v>41413</v>
      </c>
      <c r="E184" s="12" t="s">
        <v>44</v>
      </c>
      <c r="F184" s="12" t="s">
        <v>25</v>
      </c>
      <c r="G184" s="10">
        <v>13917.82</v>
      </c>
      <c r="H184" s="10">
        <v>0</v>
      </c>
      <c r="I184" s="10">
        <v>623000</v>
      </c>
      <c r="J184" s="62">
        <v>1</v>
      </c>
      <c r="L184" s="123" t="str">
        <f>E185</f>
        <v>TONY</v>
      </c>
      <c r="M184" s="123" t="s">
        <v>23</v>
      </c>
      <c r="N184" s="124">
        <f>I185</f>
        <v>564306.81000000006</v>
      </c>
      <c r="O184" s="125">
        <f>J185</f>
        <v>1</v>
      </c>
    </row>
    <row r="185" spans="1:15">
      <c r="A185" s="15" t="s">
        <v>120</v>
      </c>
      <c r="B185" s="25" t="s">
        <v>113</v>
      </c>
      <c r="C185" s="42">
        <v>108</v>
      </c>
      <c r="D185" s="9">
        <v>41402</v>
      </c>
      <c r="E185" s="12" t="s">
        <v>44</v>
      </c>
      <c r="F185" s="12" t="s">
        <v>25</v>
      </c>
      <c r="G185" s="10">
        <f>I185*2%</f>
        <v>11286.136200000001</v>
      </c>
      <c r="H185" s="10">
        <v>0</v>
      </c>
      <c r="I185" s="10">
        <v>564306.81000000006</v>
      </c>
      <c r="J185" s="62">
        <v>1</v>
      </c>
      <c r="L185" s="123" t="str">
        <f>E186</f>
        <v>TONY</v>
      </c>
      <c r="M185" s="123" t="s">
        <v>24</v>
      </c>
      <c r="N185" s="124">
        <f>I186</f>
        <v>35067.599999999999</v>
      </c>
      <c r="O185" s="125">
        <f>J186</f>
        <v>1</v>
      </c>
    </row>
    <row r="186" spans="1:15">
      <c r="A186" s="15" t="s">
        <v>120</v>
      </c>
      <c r="B186" s="25" t="s">
        <v>201</v>
      </c>
      <c r="C186" s="42" t="s">
        <v>202</v>
      </c>
      <c r="D186" s="9">
        <v>41402</v>
      </c>
      <c r="E186" s="12" t="s">
        <v>44</v>
      </c>
      <c r="F186" s="12" t="s">
        <v>25</v>
      </c>
      <c r="G186" s="10">
        <f>I186*2%</f>
        <v>701.35199999999998</v>
      </c>
      <c r="H186" s="10">
        <v>0</v>
      </c>
      <c r="I186" s="10">
        <v>35067.599999999999</v>
      </c>
      <c r="J186" s="62">
        <v>1</v>
      </c>
      <c r="L186" s="123" t="str">
        <f>E187</f>
        <v>VITORIA</v>
      </c>
      <c r="M186" s="123" t="s">
        <v>27</v>
      </c>
      <c r="N186" s="124">
        <f>SUM(I187:I192)</f>
        <v>2810570.4299999997</v>
      </c>
      <c r="O186" s="125">
        <f>SUM(J187:J192)</f>
        <v>6</v>
      </c>
    </row>
    <row r="187" spans="1:15">
      <c r="A187" s="15" t="s">
        <v>145</v>
      </c>
      <c r="B187" s="25" t="s">
        <v>85</v>
      </c>
      <c r="C187" s="42">
        <v>410</v>
      </c>
      <c r="D187" s="9">
        <v>41413</v>
      </c>
      <c r="E187" s="12" t="s">
        <v>163</v>
      </c>
      <c r="F187" s="12" t="s">
        <v>25</v>
      </c>
      <c r="G187" s="10">
        <v>5861.6</v>
      </c>
      <c r="H187" s="10">
        <v>4066.49</v>
      </c>
      <c r="I187" s="10">
        <v>366350</v>
      </c>
      <c r="J187" s="62">
        <v>1</v>
      </c>
      <c r="L187" s="11"/>
      <c r="M187" s="11"/>
      <c r="N187" s="124"/>
      <c r="O187" s="125"/>
    </row>
    <row r="188" spans="1:15">
      <c r="A188" s="15" t="s">
        <v>145</v>
      </c>
      <c r="B188" s="25" t="s">
        <v>85</v>
      </c>
      <c r="C188" s="42">
        <v>503</v>
      </c>
      <c r="D188" s="9">
        <v>41413</v>
      </c>
      <c r="E188" s="12" t="s">
        <v>163</v>
      </c>
      <c r="F188" s="12" t="s">
        <v>25</v>
      </c>
      <c r="G188" s="10">
        <v>5683.2</v>
      </c>
      <c r="H188" s="10">
        <v>3942.72</v>
      </c>
      <c r="I188" s="10">
        <v>355200</v>
      </c>
      <c r="J188" s="62">
        <v>1</v>
      </c>
      <c r="L188" s="11"/>
      <c r="M188" s="11"/>
      <c r="N188" s="124"/>
      <c r="O188" s="125"/>
    </row>
    <row r="189" spans="1:15">
      <c r="A189" s="15" t="s">
        <v>270</v>
      </c>
      <c r="B189" s="25" t="s">
        <v>272</v>
      </c>
      <c r="C189" s="39">
        <v>51</v>
      </c>
      <c r="D189" s="9">
        <v>41452</v>
      </c>
      <c r="E189" s="12" t="s">
        <v>281</v>
      </c>
      <c r="F189" s="12" t="s">
        <v>79</v>
      </c>
      <c r="G189" s="10">
        <v>10323.629999999999</v>
      </c>
      <c r="H189" s="10">
        <v>2361.5300000000002</v>
      </c>
      <c r="I189" s="10">
        <v>645227.11</v>
      </c>
      <c r="J189" s="62">
        <v>1</v>
      </c>
      <c r="L189" s="11"/>
      <c r="M189" s="11"/>
      <c r="N189" s="124"/>
      <c r="O189" s="125"/>
    </row>
    <row r="190" spans="1:15">
      <c r="A190" s="15" t="s">
        <v>270</v>
      </c>
      <c r="B190" s="25" t="s">
        <v>271</v>
      </c>
      <c r="C190" s="42">
        <v>52</v>
      </c>
      <c r="D190" s="9">
        <v>41452</v>
      </c>
      <c r="E190" s="12" t="s">
        <v>281</v>
      </c>
      <c r="F190" s="12" t="s">
        <v>79</v>
      </c>
      <c r="G190" s="10">
        <v>7941.41</v>
      </c>
      <c r="H190" s="10">
        <v>4020.34</v>
      </c>
      <c r="I190" s="10">
        <v>496338.32</v>
      </c>
      <c r="J190" s="62">
        <v>1</v>
      </c>
      <c r="L190" s="11"/>
      <c r="M190" s="11"/>
      <c r="N190" s="124"/>
      <c r="O190" s="125"/>
    </row>
    <row r="191" spans="1:15">
      <c r="A191" s="15" t="s">
        <v>53</v>
      </c>
      <c r="B191" s="25" t="s">
        <v>82</v>
      </c>
      <c r="C191" s="42">
        <v>77</v>
      </c>
      <c r="D191" s="9">
        <v>41378</v>
      </c>
      <c r="E191" s="12" t="s">
        <v>87</v>
      </c>
      <c r="F191" s="12" t="s">
        <v>79</v>
      </c>
      <c r="G191" s="10">
        <f>I191*1.6%</f>
        <v>9234.48</v>
      </c>
      <c r="H191" s="10"/>
      <c r="I191" s="10">
        <v>577155</v>
      </c>
      <c r="J191" s="62">
        <v>1</v>
      </c>
      <c r="L191" s="11"/>
      <c r="M191" s="11"/>
      <c r="N191" s="124"/>
      <c r="O191" s="125"/>
    </row>
    <row r="192" spans="1:15">
      <c r="A192" s="15" t="s">
        <v>146</v>
      </c>
      <c r="B192" s="25" t="s">
        <v>85</v>
      </c>
      <c r="C192" s="39">
        <v>907</v>
      </c>
      <c r="D192" s="9">
        <v>41451</v>
      </c>
      <c r="E192" s="12" t="s">
        <v>87</v>
      </c>
      <c r="F192" s="12" t="s">
        <v>79</v>
      </c>
      <c r="G192" s="10">
        <v>5924.8</v>
      </c>
      <c r="H192" s="10">
        <v>4110.33</v>
      </c>
      <c r="I192" s="10">
        <v>370300</v>
      </c>
      <c r="J192" s="62">
        <v>1</v>
      </c>
      <c r="L192" s="123" t="str">
        <f>E193</f>
        <v>CARINA</v>
      </c>
      <c r="M192" s="123" t="s">
        <v>25</v>
      </c>
      <c r="N192" s="124">
        <f>I193</f>
        <v>399802.79</v>
      </c>
      <c r="O192" s="125">
        <f>J193</f>
        <v>1</v>
      </c>
    </row>
    <row r="193" spans="1:15">
      <c r="A193" s="15" t="s">
        <v>186</v>
      </c>
      <c r="B193" s="25" t="s">
        <v>82</v>
      </c>
      <c r="C193" s="42">
        <v>405</v>
      </c>
      <c r="D193" s="9">
        <v>41381</v>
      </c>
      <c r="E193" s="12" t="s">
        <v>207</v>
      </c>
      <c r="F193" s="12" t="s">
        <v>79</v>
      </c>
      <c r="G193" s="10">
        <v>13993.1</v>
      </c>
      <c r="H193" s="10"/>
      <c r="I193" s="10">
        <v>399802.79</v>
      </c>
      <c r="J193" s="62">
        <v>1</v>
      </c>
      <c r="L193" s="123" t="str">
        <f>E194</f>
        <v>CARINA</v>
      </c>
      <c r="M193" s="123" t="s">
        <v>26</v>
      </c>
      <c r="N193" s="124">
        <f>SUM(I194:I195)</f>
        <v>739825</v>
      </c>
      <c r="O193" s="125">
        <f>SUM(J194:J195)</f>
        <v>1.5</v>
      </c>
    </row>
    <row r="194" spans="1:15">
      <c r="A194" s="15" t="s">
        <v>270</v>
      </c>
      <c r="B194" s="25" t="s">
        <v>273</v>
      </c>
      <c r="C194" s="39">
        <v>33</v>
      </c>
      <c r="D194" s="9">
        <v>41455</v>
      </c>
      <c r="E194" s="12" t="s">
        <v>207</v>
      </c>
      <c r="F194" s="12" t="s">
        <v>79</v>
      </c>
      <c r="G194" s="10">
        <v>3533.2</v>
      </c>
      <c r="H194" s="10">
        <v>1126.21</v>
      </c>
      <c r="I194" s="10">
        <v>220825</v>
      </c>
      <c r="J194" s="62">
        <v>0.5</v>
      </c>
      <c r="L194" s="11"/>
      <c r="M194" s="11"/>
      <c r="N194" s="124"/>
      <c r="O194" s="125"/>
    </row>
    <row r="195" spans="1:15">
      <c r="A195" s="15" t="s">
        <v>120</v>
      </c>
      <c r="B195" s="25" t="s">
        <v>85</v>
      </c>
      <c r="C195" s="42">
        <v>82</v>
      </c>
      <c r="D195" s="9">
        <v>41407</v>
      </c>
      <c r="E195" s="12" t="s">
        <v>207</v>
      </c>
      <c r="F195" s="12" t="s">
        <v>79</v>
      </c>
      <c r="G195" s="10">
        <v>10380</v>
      </c>
      <c r="H195" s="10"/>
      <c r="I195" s="10">
        <v>519000</v>
      </c>
      <c r="J195" s="62">
        <v>1</v>
      </c>
      <c r="L195" s="123" t="str">
        <f>E196</f>
        <v>CARINA</v>
      </c>
      <c r="M195" s="123" t="s">
        <v>61</v>
      </c>
      <c r="N195" s="124">
        <f>SUM(I196:I198)</f>
        <v>726888</v>
      </c>
      <c r="O195" s="125">
        <f>SUM(J196:J198)</f>
        <v>2</v>
      </c>
    </row>
    <row r="196" spans="1:15">
      <c r="A196" s="15" t="s">
        <v>145</v>
      </c>
      <c r="B196" s="25" t="s">
        <v>85</v>
      </c>
      <c r="C196" s="39">
        <v>501</v>
      </c>
      <c r="D196" s="9">
        <v>41413</v>
      </c>
      <c r="E196" s="12" t="s">
        <v>207</v>
      </c>
      <c r="F196" s="12" t="s">
        <v>79</v>
      </c>
      <c r="G196" s="10">
        <v>2875.36</v>
      </c>
      <c r="H196" s="10">
        <v>1994.78</v>
      </c>
      <c r="I196" s="10">
        <v>179710</v>
      </c>
      <c r="J196" s="62">
        <v>0.5</v>
      </c>
      <c r="L196" s="11"/>
      <c r="M196" s="11"/>
      <c r="N196" s="124"/>
      <c r="O196" s="125"/>
    </row>
    <row r="197" spans="1:15">
      <c r="A197" s="15" t="s">
        <v>145</v>
      </c>
      <c r="B197" s="25" t="s">
        <v>85</v>
      </c>
      <c r="C197" s="39">
        <v>507</v>
      </c>
      <c r="D197" s="9">
        <v>41413</v>
      </c>
      <c r="E197" s="12" t="s">
        <v>207</v>
      </c>
      <c r="F197" s="12" t="s">
        <v>79</v>
      </c>
      <c r="G197" s="10">
        <v>2863.2</v>
      </c>
      <c r="H197" s="10">
        <v>1986.35</v>
      </c>
      <c r="I197" s="10">
        <v>178950</v>
      </c>
      <c r="J197" s="62">
        <v>0.5</v>
      </c>
      <c r="L197" s="11"/>
      <c r="M197" s="11"/>
      <c r="N197" s="124"/>
      <c r="O197" s="125"/>
    </row>
    <row r="198" spans="1:15">
      <c r="A198" s="15" t="s">
        <v>145</v>
      </c>
      <c r="B198" s="25" t="s">
        <v>85</v>
      </c>
      <c r="C198" s="39">
        <v>1803</v>
      </c>
      <c r="D198" s="9">
        <v>41411</v>
      </c>
      <c r="E198" s="12" t="s">
        <v>207</v>
      </c>
      <c r="F198" s="12" t="s">
        <v>79</v>
      </c>
      <c r="G198" s="10">
        <v>5891.65</v>
      </c>
      <c r="H198" s="10">
        <v>4087.33</v>
      </c>
      <c r="I198" s="10">
        <v>368228</v>
      </c>
      <c r="J198" s="62">
        <v>1</v>
      </c>
      <c r="L198" s="123" t="str">
        <f>E199</f>
        <v>CARLOS</v>
      </c>
      <c r="M198" s="123" t="s">
        <v>25</v>
      </c>
      <c r="N198" s="124">
        <f>SUM(I199:I201)</f>
        <v>1310826.58</v>
      </c>
      <c r="O198" s="125">
        <f>SUM(J199:J201)</f>
        <v>2</v>
      </c>
    </row>
    <row r="199" spans="1:15">
      <c r="A199" s="15" t="s">
        <v>145</v>
      </c>
      <c r="B199" s="25" t="s">
        <v>85</v>
      </c>
      <c r="C199" s="39">
        <v>1514</v>
      </c>
      <c r="D199" s="9">
        <v>41413</v>
      </c>
      <c r="E199" s="12" t="s">
        <v>176</v>
      </c>
      <c r="F199" s="12" t="s">
        <v>79</v>
      </c>
      <c r="G199" s="10">
        <f>I199*0.8%</f>
        <v>1492.21264</v>
      </c>
      <c r="H199" s="10">
        <v>0</v>
      </c>
      <c r="I199" s="10">
        <v>186526.58</v>
      </c>
      <c r="J199" s="34">
        <v>0.5</v>
      </c>
      <c r="L199" s="11"/>
      <c r="M199" s="11"/>
      <c r="N199" s="124"/>
      <c r="O199" s="125"/>
    </row>
    <row r="200" spans="1:15">
      <c r="A200" s="15" t="s">
        <v>124</v>
      </c>
      <c r="B200" s="25" t="s">
        <v>85</v>
      </c>
      <c r="C200" s="39">
        <v>905</v>
      </c>
      <c r="D200" s="9">
        <v>41343</v>
      </c>
      <c r="E200" s="12" t="s">
        <v>224</v>
      </c>
      <c r="F200" s="12" t="s">
        <v>79</v>
      </c>
      <c r="G200" s="10">
        <v>6086.66</v>
      </c>
      <c r="H200" s="10"/>
      <c r="I200" s="10">
        <v>224600</v>
      </c>
      <c r="J200" s="62">
        <v>0.5</v>
      </c>
      <c r="L200" s="11"/>
      <c r="M200" s="11"/>
      <c r="N200" s="124"/>
      <c r="O200" s="125"/>
    </row>
    <row r="201" spans="1:15">
      <c r="A201" s="15" t="s">
        <v>53</v>
      </c>
      <c r="B201" s="25" t="s">
        <v>85</v>
      </c>
      <c r="C201" s="39">
        <v>173</v>
      </c>
      <c r="D201" s="9">
        <v>41357</v>
      </c>
      <c r="E201" s="12" t="s">
        <v>78</v>
      </c>
      <c r="F201" s="12" t="s">
        <v>79</v>
      </c>
      <c r="G201" s="10">
        <v>20981</v>
      </c>
      <c r="H201" s="10"/>
      <c r="I201" s="10">
        <v>899700</v>
      </c>
      <c r="J201" s="62">
        <v>1</v>
      </c>
      <c r="L201" s="123" t="str">
        <f>E202</f>
        <v>JULINHO</v>
      </c>
      <c r="M201" s="123" t="s">
        <v>27</v>
      </c>
      <c r="N201" s="124">
        <f>SUM(I202:I206)</f>
        <v>1587314.8599999999</v>
      </c>
      <c r="O201" s="125">
        <f>SUM(J202:J206)</f>
        <v>3</v>
      </c>
    </row>
    <row r="202" spans="1:15">
      <c r="A202" s="15" t="s">
        <v>146</v>
      </c>
      <c r="B202" s="25" t="s">
        <v>85</v>
      </c>
      <c r="C202" s="42">
        <v>2112</v>
      </c>
      <c r="D202" s="9">
        <v>41434</v>
      </c>
      <c r="E202" s="12" t="s">
        <v>78</v>
      </c>
      <c r="F202" s="12" t="s">
        <v>79</v>
      </c>
      <c r="G202" s="10">
        <v>5450.3</v>
      </c>
      <c r="H202" s="10">
        <v>3783.19</v>
      </c>
      <c r="I202" s="10">
        <v>340643.86</v>
      </c>
      <c r="J202" s="62">
        <v>0.5</v>
      </c>
      <c r="L202" s="11"/>
      <c r="M202" s="11"/>
      <c r="N202" s="124"/>
      <c r="O202" s="125"/>
    </row>
    <row r="203" spans="1:15">
      <c r="A203" s="15" t="s">
        <v>145</v>
      </c>
      <c r="B203" s="25" t="s">
        <v>85</v>
      </c>
      <c r="C203" s="39">
        <v>1508</v>
      </c>
      <c r="D203" s="12">
        <v>41437</v>
      </c>
      <c r="E203" s="12" t="s">
        <v>78</v>
      </c>
      <c r="F203" s="12" t="s">
        <v>79</v>
      </c>
      <c r="G203" s="10">
        <v>3149.6</v>
      </c>
      <c r="H203" s="10">
        <v>0</v>
      </c>
      <c r="I203" s="10">
        <v>196850</v>
      </c>
      <c r="J203" s="62">
        <v>0.5</v>
      </c>
      <c r="L203" s="11"/>
      <c r="M203" s="11"/>
      <c r="N203" s="124"/>
      <c r="O203" s="125"/>
    </row>
    <row r="204" spans="1:15">
      <c r="A204" s="15" t="s">
        <v>145</v>
      </c>
      <c r="B204" s="25" t="s">
        <v>85</v>
      </c>
      <c r="C204" s="39">
        <v>508</v>
      </c>
      <c r="D204" s="12">
        <v>41437</v>
      </c>
      <c r="E204" s="12" t="s">
        <v>78</v>
      </c>
      <c r="F204" s="12" t="s">
        <v>79</v>
      </c>
      <c r="G204" s="10">
        <v>3043.2</v>
      </c>
      <c r="H204" s="10">
        <v>0</v>
      </c>
      <c r="I204" s="10">
        <v>190200</v>
      </c>
      <c r="J204" s="62">
        <v>0.5</v>
      </c>
      <c r="L204" s="11"/>
      <c r="M204" s="11"/>
      <c r="N204" s="124"/>
      <c r="O204" s="125"/>
    </row>
    <row r="205" spans="1:15">
      <c r="A205" s="15" t="s">
        <v>270</v>
      </c>
      <c r="B205" s="25" t="s">
        <v>273</v>
      </c>
      <c r="C205" s="39">
        <v>33</v>
      </c>
      <c r="D205" s="9">
        <v>41455</v>
      </c>
      <c r="E205" s="12" t="s">
        <v>78</v>
      </c>
      <c r="F205" s="12" t="s">
        <v>79</v>
      </c>
      <c r="G205" s="10">
        <v>3533.2</v>
      </c>
      <c r="H205" s="10">
        <v>1126.21</v>
      </c>
      <c r="I205" s="10">
        <v>220825</v>
      </c>
      <c r="J205" s="62">
        <v>0.5</v>
      </c>
      <c r="L205" s="11"/>
      <c r="M205" s="11"/>
      <c r="N205" s="124"/>
      <c r="O205" s="125"/>
    </row>
    <row r="206" spans="1:15">
      <c r="A206" s="15" t="s">
        <v>270</v>
      </c>
      <c r="B206" s="25" t="s">
        <v>278</v>
      </c>
      <c r="C206" s="39">
        <v>22</v>
      </c>
      <c r="D206" s="9">
        <v>41455</v>
      </c>
      <c r="E206" s="12" t="s">
        <v>279</v>
      </c>
      <c r="F206" s="12" t="s">
        <v>79</v>
      </c>
      <c r="G206" s="10">
        <v>10220.74</v>
      </c>
      <c r="H206" s="10">
        <v>5174.25</v>
      </c>
      <c r="I206" s="10">
        <v>638796</v>
      </c>
      <c r="J206" s="62">
        <v>1</v>
      </c>
      <c r="L206" s="123" t="str">
        <f>E207</f>
        <v>MARIANA</v>
      </c>
      <c r="M206" s="123" t="s">
        <v>26</v>
      </c>
      <c r="N206" s="124">
        <f>I207</f>
        <v>385819.99</v>
      </c>
      <c r="O206" s="125">
        <f>J207</f>
        <v>1</v>
      </c>
    </row>
    <row r="207" spans="1:15">
      <c r="A207" s="15" t="s">
        <v>270</v>
      </c>
      <c r="B207" s="25" t="s">
        <v>271</v>
      </c>
      <c r="C207" s="39">
        <v>5</v>
      </c>
      <c r="D207" s="9">
        <v>41455</v>
      </c>
      <c r="E207" s="12" t="s">
        <v>277</v>
      </c>
      <c r="F207" s="12" t="s">
        <v>79</v>
      </c>
      <c r="G207" s="10">
        <v>6173.12</v>
      </c>
      <c r="H207" s="10">
        <v>3125.14</v>
      </c>
      <c r="I207" s="10">
        <v>385819.99</v>
      </c>
      <c r="J207" s="62">
        <v>1</v>
      </c>
      <c r="L207" s="123" t="str">
        <f>E208</f>
        <v>MARIANA</v>
      </c>
      <c r="M207" s="123" t="s">
        <v>26</v>
      </c>
      <c r="N207" s="124">
        <f>I208</f>
        <v>479051.8</v>
      </c>
      <c r="O207" s="125">
        <f>J208</f>
        <v>1</v>
      </c>
    </row>
    <row r="208" spans="1:15">
      <c r="A208" s="15" t="s">
        <v>270</v>
      </c>
      <c r="B208" s="25" t="s">
        <v>273</v>
      </c>
      <c r="C208" s="42">
        <v>53</v>
      </c>
      <c r="D208" s="9">
        <v>41451</v>
      </c>
      <c r="E208" s="12" t="s">
        <v>277</v>
      </c>
      <c r="F208" s="12" t="s">
        <v>79</v>
      </c>
      <c r="G208" s="10">
        <v>7664.83</v>
      </c>
      <c r="H208" s="10">
        <v>3880.32</v>
      </c>
      <c r="I208" s="10">
        <v>479051.8</v>
      </c>
      <c r="J208" s="62">
        <v>1</v>
      </c>
      <c r="L208" s="123" t="str">
        <f>E209</f>
        <v>MIRIAM</v>
      </c>
      <c r="M208" s="123" t="s">
        <v>24</v>
      </c>
      <c r="N208" s="124">
        <f>SUM(I209:I215)</f>
        <v>2824687.06</v>
      </c>
      <c r="O208" s="125">
        <f>SUM(J209:J215)</f>
        <v>6.5</v>
      </c>
    </row>
    <row r="209" spans="1:15">
      <c r="A209" s="15" t="s">
        <v>270</v>
      </c>
      <c r="B209" s="25" t="s">
        <v>273</v>
      </c>
      <c r="C209" s="39">
        <v>24</v>
      </c>
      <c r="D209" s="9">
        <v>41452</v>
      </c>
      <c r="E209" s="12" t="s">
        <v>280</v>
      </c>
      <c r="F209" s="12" t="s">
        <v>79</v>
      </c>
      <c r="G209" s="10">
        <v>5296.8</v>
      </c>
      <c r="H209" s="10">
        <v>2681.51</v>
      </c>
      <c r="I209" s="10">
        <v>331050</v>
      </c>
      <c r="J209" s="62">
        <v>1</v>
      </c>
      <c r="L209" s="11"/>
      <c r="M209" s="11"/>
      <c r="N209" s="124"/>
      <c r="O209" s="125"/>
    </row>
    <row r="210" spans="1:15">
      <c r="A210" s="15" t="s">
        <v>124</v>
      </c>
      <c r="B210" s="25" t="s">
        <v>85</v>
      </c>
      <c r="C210" s="39">
        <v>102</v>
      </c>
      <c r="D210" s="12">
        <v>41343</v>
      </c>
      <c r="E210" s="12" t="s">
        <v>140</v>
      </c>
      <c r="F210" s="12" t="s">
        <v>79</v>
      </c>
      <c r="G210" s="10">
        <v>5931.65</v>
      </c>
      <c r="H210" s="10"/>
      <c r="I210" s="10">
        <v>218880.01</v>
      </c>
      <c r="J210" s="34">
        <v>0.5</v>
      </c>
      <c r="L210" s="11"/>
      <c r="M210" s="11"/>
      <c r="N210" s="124"/>
      <c r="O210" s="125"/>
    </row>
    <row r="211" spans="1:15">
      <c r="A211" s="15" t="s">
        <v>124</v>
      </c>
      <c r="B211" s="25" t="s">
        <v>85</v>
      </c>
      <c r="C211" s="39">
        <v>609</v>
      </c>
      <c r="D211" s="9">
        <v>41343</v>
      </c>
      <c r="E211" s="12" t="s">
        <v>140</v>
      </c>
      <c r="F211" s="12" t="s">
        <v>79</v>
      </c>
      <c r="G211" s="10">
        <v>11728.01</v>
      </c>
      <c r="H211" s="10"/>
      <c r="I211" s="10">
        <v>432768.05</v>
      </c>
      <c r="J211" s="62">
        <v>1</v>
      </c>
      <c r="L211" s="11"/>
      <c r="M211" s="11"/>
      <c r="N211" s="124"/>
      <c r="O211" s="125"/>
    </row>
    <row r="212" spans="1:15">
      <c r="A212" s="15" t="s">
        <v>124</v>
      </c>
      <c r="B212" s="25" t="s">
        <v>85</v>
      </c>
      <c r="C212" s="39">
        <v>701</v>
      </c>
      <c r="D212" s="9">
        <v>41343</v>
      </c>
      <c r="E212" s="12" t="s">
        <v>140</v>
      </c>
      <c r="F212" s="12" t="s">
        <v>79</v>
      </c>
      <c r="G212" s="10">
        <v>12129.96</v>
      </c>
      <c r="H212" s="10"/>
      <c r="I212" s="10">
        <v>447600.01</v>
      </c>
      <c r="J212" s="62">
        <v>1</v>
      </c>
      <c r="L212" s="11"/>
      <c r="M212" s="11"/>
      <c r="N212" s="124"/>
      <c r="O212" s="125"/>
    </row>
    <row r="213" spans="1:15">
      <c r="A213" s="15" t="s">
        <v>124</v>
      </c>
      <c r="B213" s="25" t="s">
        <v>85</v>
      </c>
      <c r="C213" s="39">
        <v>702</v>
      </c>
      <c r="D213" s="9">
        <v>41343</v>
      </c>
      <c r="E213" s="12" t="s">
        <v>140</v>
      </c>
      <c r="F213" s="12" t="s">
        <v>79</v>
      </c>
      <c r="G213" s="10">
        <v>12357.6</v>
      </c>
      <c r="H213" s="10"/>
      <c r="I213" s="10">
        <v>455999.99</v>
      </c>
      <c r="J213" s="62">
        <v>1</v>
      </c>
      <c r="L213" s="11"/>
      <c r="M213" s="11"/>
      <c r="N213" s="124"/>
      <c r="O213" s="125"/>
    </row>
    <row r="214" spans="1:15">
      <c r="A214" s="15" t="s">
        <v>145</v>
      </c>
      <c r="B214" s="25" t="s">
        <v>85</v>
      </c>
      <c r="C214" s="42">
        <v>1212</v>
      </c>
      <c r="D214" s="9">
        <v>41423</v>
      </c>
      <c r="E214" s="12" t="s">
        <v>140</v>
      </c>
      <c r="F214" s="12" t="s">
        <v>79</v>
      </c>
      <c r="G214" s="10">
        <v>8495.68</v>
      </c>
      <c r="H214" s="10">
        <v>0</v>
      </c>
      <c r="I214" s="10">
        <v>530980</v>
      </c>
      <c r="J214" s="62">
        <v>1</v>
      </c>
      <c r="L214" s="11"/>
      <c r="M214" s="11"/>
      <c r="N214" s="124"/>
      <c r="O214" s="125"/>
    </row>
    <row r="215" spans="1:15">
      <c r="A215" s="15" t="s">
        <v>186</v>
      </c>
      <c r="B215" s="25" t="s">
        <v>82</v>
      </c>
      <c r="C215" s="42">
        <v>1011</v>
      </c>
      <c r="D215" s="9">
        <v>41374</v>
      </c>
      <c r="E215" s="12" t="s">
        <v>140</v>
      </c>
      <c r="F215" s="12" t="s">
        <v>79</v>
      </c>
      <c r="G215" s="10">
        <f>I215*2%</f>
        <v>8148.18</v>
      </c>
      <c r="H215" s="10"/>
      <c r="I215" s="10">
        <v>407409</v>
      </c>
      <c r="J215" s="62">
        <v>1</v>
      </c>
      <c r="L215" s="123" t="str">
        <f>E216</f>
        <v>RAPHAEL</v>
      </c>
      <c r="M215" s="123" t="s">
        <v>24</v>
      </c>
      <c r="N215" s="124">
        <f>SUM(I216:I217)</f>
        <v>695135.77</v>
      </c>
      <c r="O215" s="125">
        <f>SUM(J216:J217)</f>
        <v>2</v>
      </c>
    </row>
    <row r="216" spans="1:15">
      <c r="A216" s="15" t="s">
        <v>146</v>
      </c>
      <c r="B216" s="25" t="s">
        <v>85</v>
      </c>
      <c r="C216" s="42">
        <v>2003</v>
      </c>
      <c r="D216" s="9">
        <v>41431</v>
      </c>
      <c r="E216" s="12" t="s">
        <v>140</v>
      </c>
      <c r="F216" s="12" t="s">
        <v>79</v>
      </c>
      <c r="G216" s="10">
        <v>4978.18</v>
      </c>
      <c r="H216" s="10">
        <v>0</v>
      </c>
      <c r="I216" s="10">
        <v>311136</v>
      </c>
      <c r="J216" s="62">
        <v>1</v>
      </c>
      <c r="L216" s="11"/>
      <c r="M216" s="11"/>
      <c r="N216" s="124"/>
      <c r="O216" s="125"/>
    </row>
    <row r="217" spans="1:15">
      <c r="A217" s="15" t="s">
        <v>145</v>
      </c>
      <c r="B217" s="25" t="s">
        <v>85</v>
      </c>
      <c r="C217" s="42">
        <v>910</v>
      </c>
      <c r="D217" s="9">
        <v>41416</v>
      </c>
      <c r="E217" s="42" t="s">
        <v>197</v>
      </c>
      <c r="F217" s="42" t="s">
        <v>79</v>
      </c>
      <c r="G217" s="10">
        <v>6144</v>
      </c>
      <c r="H217" s="10">
        <v>4262.3999999999996</v>
      </c>
      <c r="I217" s="10">
        <v>383999.77</v>
      </c>
      <c r="J217" s="62">
        <v>1</v>
      </c>
      <c r="L217" s="123" t="str">
        <f>E218</f>
        <v>REYNALDO</v>
      </c>
      <c r="M217" s="123" t="s">
        <v>25</v>
      </c>
      <c r="N217" s="124">
        <f>I218</f>
        <v>308508</v>
      </c>
      <c r="O217" s="125">
        <f>J218</f>
        <v>1</v>
      </c>
    </row>
    <row r="218" spans="1:15">
      <c r="A218" s="15" t="s">
        <v>145</v>
      </c>
      <c r="B218" s="25" t="s">
        <v>85</v>
      </c>
      <c r="C218" s="42">
        <v>1014</v>
      </c>
      <c r="D218" s="9">
        <v>41412</v>
      </c>
      <c r="E218" s="42" t="s">
        <v>197</v>
      </c>
      <c r="F218" s="42" t="s">
        <v>79</v>
      </c>
      <c r="G218" s="10">
        <v>4936.13</v>
      </c>
      <c r="H218" s="10">
        <v>3424.44</v>
      </c>
      <c r="I218" s="10">
        <v>308508</v>
      </c>
      <c r="J218" s="62">
        <v>1</v>
      </c>
      <c r="L218" s="123" t="str">
        <f>E219</f>
        <v>REYNALDO</v>
      </c>
      <c r="M218" s="123" t="s">
        <v>61</v>
      </c>
      <c r="N218" s="124">
        <f>I219</f>
        <v>255610.19</v>
      </c>
      <c r="O218" s="125">
        <f>J219</f>
        <v>0.5</v>
      </c>
    </row>
    <row r="219" spans="1:15">
      <c r="A219" s="15" t="s">
        <v>145</v>
      </c>
      <c r="B219" s="25" t="s">
        <v>85</v>
      </c>
      <c r="C219" s="42">
        <v>1313</v>
      </c>
      <c r="D219" s="9">
        <v>41411</v>
      </c>
      <c r="E219" s="42" t="s">
        <v>197</v>
      </c>
      <c r="F219" s="42" t="s">
        <v>79</v>
      </c>
      <c r="G219" s="10">
        <v>4089.76</v>
      </c>
      <c r="H219" s="10">
        <v>2837.27</v>
      </c>
      <c r="I219" s="10">
        <v>255610.19</v>
      </c>
      <c r="J219" s="62">
        <v>0.5</v>
      </c>
      <c r="L219" s="123" t="str">
        <f>E220</f>
        <v>ROMULO</v>
      </c>
      <c r="M219" s="123" t="s">
        <v>25</v>
      </c>
      <c r="N219" s="124">
        <f>SUM(I220:I223)</f>
        <v>2175353.2600000002</v>
      </c>
      <c r="O219" s="125">
        <f>SUM(J220:J223)</f>
        <v>3</v>
      </c>
    </row>
    <row r="220" spans="1:15">
      <c r="A220" s="15" t="s">
        <v>145</v>
      </c>
      <c r="B220" s="25" t="s">
        <v>85</v>
      </c>
      <c r="C220" s="39">
        <v>1514</v>
      </c>
      <c r="D220" s="9">
        <v>41413</v>
      </c>
      <c r="E220" s="12" t="s">
        <v>177</v>
      </c>
      <c r="F220" s="12" t="s">
        <v>79</v>
      </c>
      <c r="G220" s="10">
        <f>I220*0.8%</f>
        <v>1492.21264</v>
      </c>
      <c r="H220" s="10">
        <v>0</v>
      </c>
      <c r="I220" s="10">
        <v>186526.58</v>
      </c>
      <c r="J220" s="34">
        <v>0.5</v>
      </c>
      <c r="L220" s="11"/>
      <c r="M220" s="11"/>
      <c r="N220" s="124"/>
      <c r="O220" s="125"/>
    </row>
    <row r="221" spans="1:15">
      <c r="A221" s="15" t="s">
        <v>89</v>
      </c>
      <c r="B221" s="25" t="s">
        <v>82</v>
      </c>
      <c r="C221" s="42">
        <v>111</v>
      </c>
      <c r="D221" s="9">
        <v>41381</v>
      </c>
      <c r="E221" s="12" t="s">
        <v>128</v>
      </c>
      <c r="F221" s="12" t="s">
        <v>79</v>
      </c>
      <c r="G221" s="10">
        <v>23490</v>
      </c>
      <c r="H221" s="10"/>
      <c r="I221" s="10">
        <v>1080000</v>
      </c>
      <c r="J221" s="62">
        <v>0.5</v>
      </c>
      <c r="L221" s="11"/>
      <c r="M221" s="11"/>
      <c r="N221" s="124"/>
      <c r="O221" s="125"/>
    </row>
    <row r="222" spans="1:15">
      <c r="A222" s="15" t="s">
        <v>270</v>
      </c>
      <c r="B222" s="25" t="s">
        <v>273</v>
      </c>
      <c r="C222" s="39">
        <v>66</v>
      </c>
      <c r="D222" s="12">
        <v>41451</v>
      </c>
      <c r="E222" s="12" t="s">
        <v>282</v>
      </c>
      <c r="F222" s="12" t="s">
        <v>26</v>
      </c>
      <c r="G222" s="10">
        <v>6964.13</v>
      </c>
      <c r="H222" s="10">
        <v>3525.59</v>
      </c>
      <c r="I222" s="10">
        <v>435257.82</v>
      </c>
      <c r="J222" s="34">
        <v>1</v>
      </c>
      <c r="L222" s="11"/>
      <c r="M222" s="11"/>
      <c r="N222" s="124"/>
      <c r="O222" s="125"/>
    </row>
    <row r="223" spans="1:15">
      <c r="A223" s="15" t="s">
        <v>270</v>
      </c>
      <c r="B223" s="25" t="s">
        <v>273</v>
      </c>
      <c r="C223" s="39">
        <v>72</v>
      </c>
      <c r="D223" s="12">
        <v>41455</v>
      </c>
      <c r="E223" s="12" t="s">
        <v>282</v>
      </c>
      <c r="F223" s="12" t="s">
        <v>26</v>
      </c>
      <c r="G223" s="10">
        <v>7577.1</v>
      </c>
      <c r="H223" s="10">
        <v>3835.91</v>
      </c>
      <c r="I223" s="10">
        <v>473568.86</v>
      </c>
      <c r="J223" s="34">
        <v>1</v>
      </c>
      <c r="L223" s="123" t="str">
        <f>E224</f>
        <v>AFRAH</v>
      </c>
      <c r="M223" s="123" t="s">
        <v>23</v>
      </c>
      <c r="N223" s="124">
        <f>SUM(I224:I225)</f>
        <v>875829.14</v>
      </c>
      <c r="O223" s="125">
        <f>SUM(J224:J225)</f>
        <v>2</v>
      </c>
    </row>
    <row r="224" spans="1:15">
      <c r="A224" s="15" t="s">
        <v>270</v>
      </c>
      <c r="B224" s="25" t="s">
        <v>273</v>
      </c>
      <c r="C224" s="39">
        <v>75</v>
      </c>
      <c r="D224" s="12">
        <v>41451</v>
      </c>
      <c r="E224" s="12" t="s">
        <v>282</v>
      </c>
      <c r="F224" s="12" t="s">
        <v>26</v>
      </c>
      <c r="G224" s="10">
        <v>6082.76</v>
      </c>
      <c r="H224" s="10">
        <v>3079.4</v>
      </c>
      <c r="I224" s="10">
        <v>380172.25</v>
      </c>
      <c r="J224" s="34">
        <v>1</v>
      </c>
      <c r="L224" s="11"/>
      <c r="M224" s="11"/>
      <c r="N224" s="124"/>
      <c r="O224" s="125"/>
    </row>
    <row r="225" spans="1:15">
      <c r="A225" s="15" t="s">
        <v>270</v>
      </c>
      <c r="B225" s="25" t="s">
        <v>273</v>
      </c>
      <c r="C225" s="39">
        <v>76</v>
      </c>
      <c r="D225" s="12">
        <v>41451</v>
      </c>
      <c r="E225" s="12" t="s">
        <v>282</v>
      </c>
      <c r="F225" s="12" t="s">
        <v>26</v>
      </c>
      <c r="G225" s="10">
        <v>7930.51</v>
      </c>
      <c r="H225" s="10">
        <v>4014.82</v>
      </c>
      <c r="I225" s="10">
        <v>495656.89</v>
      </c>
      <c r="J225" s="34">
        <v>1</v>
      </c>
      <c r="L225" s="123" t="str">
        <f>E226</f>
        <v>AFRAH</v>
      </c>
      <c r="M225" s="123" t="s">
        <v>23</v>
      </c>
      <c r="N225" s="124">
        <f>I226</f>
        <v>493500</v>
      </c>
      <c r="O225" s="125">
        <f>J226</f>
        <v>1</v>
      </c>
    </row>
    <row r="226" spans="1:15">
      <c r="A226" s="15" t="s">
        <v>270</v>
      </c>
      <c r="B226" s="25" t="s">
        <v>273</v>
      </c>
      <c r="C226" s="39">
        <v>82</v>
      </c>
      <c r="D226" s="12">
        <v>41451</v>
      </c>
      <c r="E226" s="12" t="s">
        <v>282</v>
      </c>
      <c r="F226" s="12" t="s">
        <v>26</v>
      </c>
      <c r="G226" s="10">
        <v>7896</v>
      </c>
      <c r="H226" s="10">
        <v>2990.61</v>
      </c>
      <c r="I226" s="10">
        <v>493500</v>
      </c>
      <c r="J226" s="34">
        <v>1</v>
      </c>
      <c r="L226" s="123" t="str">
        <f>E227</f>
        <v>ARETHA</v>
      </c>
      <c r="M226" s="123" t="s">
        <v>23</v>
      </c>
      <c r="N226" s="124">
        <f>SUM(I227:I229)</f>
        <v>772731.1399999999</v>
      </c>
      <c r="O226" s="125">
        <f>SUM(J227:J229)</f>
        <v>2</v>
      </c>
    </row>
    <row r="227" spans="1:15">
      <c r="A227" s="15" t="s">
        <v>145</v>
      </c>
      <c r="B227" s="25" t="s">
        <v>85</v>
      </c>
      <c r="C227" s="39">
        <v>1201</v>
      </c>
      <c r="D227" s="9">
        <v>41441</v>
      </c>
      <c r="E227" s="12" t="s">
        <v>170</v>
      </c>
      <c r="F227" s="12" t="s">
        <v>26</v>
      </c>
      <c r="G227" s="10">
        <v>2905.75</v>
      </c>
      <c r="H227" s="10">
        <v>2015.86</v>
      </c>
      <c r="I227" s="10">
        <v>181609.12</v>
      </c>
      <c r="J227" s="62">
        <v>0.5</v>
      </c>
      <c r="L227" s="11"/>
      <c r="M227" s="11"/>
      <c r="N227" s="124"/>
      <c r="O227" s="125"/>
    </row>
    <row r="228" spans="1:15">
      <c r="A228" s="15" t="s">
        <v>145</v>
      </c>
      <c r="B228" s="25" t="s">
        <v>85</v>
      </c>
      <c r="C228" s="42">
        <v>2011</v>
      </c>
      <c r="D228" s="9">
        <v>41420</v>
      </c>
      <c r="E228" s="12" t="s">
        <v>170</v>
      </c>
      <c r="F228" s="12" t="s">
        <v>26</v>
      </c>
      <c r="G228" s="10">
        <v>3199.8</v>
      </c>
      <c r="H228" s="10">
        <v>2219.86</v>
      </c>
      <c r="I228" s="10">
        <v>199987.05</v>
      </c>
      <c r="J228" s="62">
        <v>0.5</v>
      </c>
      <c r="L228" s="11"/>
      <c r="M228" s="11"/>
      <c r="N228" s="124"/>
      <c r="O228" s="125"/>
    </row>
    <row r="229" spans="1:15">
      <c r="A229" s="15" t="s">
        <v>124</v>
      </c>
      <c r="B229" s="25" t="s">
        <v>85</v>
      </c>
      <c r="C229" s="39">
        <v>611</v>
      </c>
      <c r="D229" s="9">
        <v>41344</v>
      </c>
      <c r="E229" s="12" t="s">
        <v>218</v>
      </c>
      <c r="F229" s="12" t="s">
        <v>26</v>
      </c>
      <c r="G229" s="10">
        <v>10153.86</v>
      </c>
      <c r="H229" s="10"/>
      <c r="I229" s="10">
        <v>391134.97</v>
      </c>
      <c r="J229" s="34">
        <v>1</v>
      </c>
      <c r="L229" s="123" t="str">
        <f>E230</f>
        <v>BLUMA</v>
      </c>
      <c r="M229" s="123" t="s">
        <v>23</v>
      </c>
      <c r="N229" s="124">
        <f>SUM(I230:I237)</f>
        <v>2021185.63</v>
      </c>
      <c r="O229" s="125">
        <f>SUM(J230:J237)</f>
        <v>5.5</v>
      </c>
    </row>
    <row r="230" spans="1:15">
      <c r="A230" s="15" t="s">
        <v>145</v>
      </c>
      <c r="B230" s="25" t="s">
        <v>82</v>
      </c>
      <c r="C230" s="39">
        <v>409</v>
      </c>
      <c r="D230" s="9">
        <v>41445</v>
      </c>
      <c r="E230" s="12" t="s">
        <v>218</v>
      </c>
      <c r="F230" s="12" t="s">
        <v>26</v>
      </c>
      <c r="G230" s="10">
        <v>3571.2</v>
      </c>
      <c r="H230" s="10">
        <v>0</v>
      </c>
      <c r="I230" s="10">
        <v>223200</v>
      </c>
      <c r="J230" s="62">
        <v>0.5</v>
      </c>
      <c r="L230" s="11"/>
      <c r="M230" s="11"/>
      <c r="N230" s="124"/>
      <c r="O230" s="125"/>
    </row>
    <row r="231" spans="1:15">
      <c r="A231" s="15" t="s">
        <v>145</v>
      </c>
      <c r="B231" s="25" t="s">
        <v>82</v>
      </c>
      <c r="C231" s="39">
        <v>2408</v>
      </c>
      <c r="D231" s="9">
        <v>41445</v>
      </c>
      <c r="E231" s="12" t="s">
        <v>218</v>
      </c>
      <c r="F231" s="12" t="s">
        <v>26</v>
      </c>
      <c r="G231" s="10">
        <v>3868.8</v>
      </c>
      <c r="H231" s="10">
        <v>0</v>
      </c>
      <c r="I231" s="10">
        <v>241800</v>
      </c>
      <c r="J231" s="62">
        <v>0.5</v>
      </c>
      <c r="L231" s="11"/>
      <c r="M231" s="11"/>
      <c r="N231" s="124"/>
      <c r="O231" s="125"/>
    </row>
    <row r="232" spans="1:15">
      <c r="A232" s="15" t="s">
        <v>57</v>
      </c>
      <c r="B232" s="25" t="s">
        <v>188</v>
      </c>
      <c r="C232" s="39">
        <v>152</v>
      </c>
      <c r="D232" s="9">
        <v>41414</v>
      </c>
      <c r="E232" s="12" t="s">
        <v>218</v>
      </c>
      <c r="F232" s="12" t="s">
        <v>26</v>
      </c>
      <c r="G232" s="10">
        <v>4418.3999999999996</v>
      </c>
      <c r="H232" s="10">
        <v>0</v>
      </c>
      <c r="I232" s="10">
        <v>138075</v>
      </c>
      <c r="J232" s="62">
        <v>0.5</v>
      </c>
      <c r="L232" s="11"/>
      <c r="M232" s="11"/>
      <c r="N232" s="124"/>
      <c r="O232" s="125"/>
    </row>
    <row r="233" spans="1:15">
      <c r="A233" s="15" t="s">
        <v>145</v>
      </c>
      <c r="B233" s="25" t="s">
        <v>85</v>
      </c>
      <c r="C233" s="39">
        <v>502</v>
      </c>
      <c r="D233" s="9">
        <v>41407</v>
      </c>
      <c r="E233" s="12" t="s">
        <v>218</v>
      </c>
      <c r="F233" s="12" t="s">
        <v>26</v>
      </c>
      <c r="G233" s="10">
        <v>2823.22</v>
      </c>
      <c r="H233" s="10">
        <v>1958.61</v>
      </c>
      <c r="I233" s="10">
        <v>176451.06</v>
      </c>
      <c r="J233" s="62">
        <v>0.5</v>
      </c>
      <c r="L233" s="11"/>
      <c r="M233" s="11"/>
      <c r="N233" s="124"/>
      <c r="O233" s="125"/>
    </row>
    <row r="234" spans="1:15">
      <c r="A234" s="15" t="s">
        <v>145</v>
      </c>
      <c r="B234" s="25" t="s">
        <v>85</v>
      </c>
      <c r="C234" s="39">
        <v>706</v>
      </c>
      <c r="D234" s="9">
        <v>41407</v>
      </c>
      <c r="E234" s="12" t="s">
        <v>218</v>
      </c>
      <c r="F234" s="12" t="s">
        <v>26</v>
      </c>
      <c r="G234" s="10">
        <v>4860.99</v>
      </c>
      <c r="H234" s="10">
        <v>3372.31</v>
      </c>
      <c r="I234" s="10">
        <v>303812</v>
      </c>
      <c r="J234" s="62">
        <v>1</v>
      </c>
      <c r="L234" s="11"/>
      <c r="M234" s="11"/>
      <c r="N234" s="124"/>
      <c r="O234" s="125"/>
    </row>
    <row r="235" spans="1:15">
      <c r="A235" s="15" t="s">
        <v>145</v>
      </c>
      <c r="B235" s="25" t="s">
        <v>85</v>
      </c>
      <c r="C235" s="39">
        <v>1016</v>
      </c>
      <c r="D235" s="9">
        <v>41413</v>
      </c>
      <c r="E235" s="12" t="s">
        <v>218</v>
      </c>
      <c r="F235" s="12" t="s">
        <v>26</v>
      </c>
      <c r="G235" s="10">
        <v>29150.02</v>
      </c>
      <c r="H235" s="10">
        <v>2022.29</v>
      </c>
      <c r="I235" s="10">
        <v>182188.42</v>
      </c>
      <c r="J235" s="62">
        <v>0.5</v>
      </c>
      <c r="L235" s="11"/>
      <c r="M235" s="11"/>
      <c r="N235" s="124"/>
      <c r="O235" s="125"/>
    </row>
    <row r="236" spans="1:15">
      <c r="A236" s="15" t="s">
        <v>145</v>
      </c>
      <c r="B236" s="25" t="s">
        <v>85</v>
      </c>
      <c r="C236" s="39">
        <v>1101</v>
      </c>
      <c r="D236" s="9">
        <v>41413</v>
      </c>
      <c r="E236" s="12" t="s">
        <v>218</v>
      </c>
      <c r="F236" s="12" t="s">
        <v>26</v>
      </c>
      <c r="G236" s="10">
        <v>5883.69</v>
      </c>
      <c r="H236" s="10">
        <v>4081.81</v>
      </c>
      <c r="I236" s="10">
        <v>367730.43</v>
      </c>
      <c r="J236" s="62">
        <v>1</v>
      </c>
      <c r="L236" s="11"/>
      <c r="M236" s="11"/>
      <c r="N236" s="124"/>
      <c r="O236" s="125"/>
    </row>
    <row r="237" spans="1:15">
      <c r="A237" s="15" t="s">
        <v>270</v>
      </c>
      <c r="B237" s="25" t="s">
        <v>271</v>
      </c>
      <c r="C237" s="39">
        <v>14</v>
      </c>
      <c r="D237" s="12">
        <v>41451</v>
      </c>
      <c r="E237" s="12" t="s">
        <v>283</v>
      </c>
      <c r="F237" s="12" t="s">
        <v>26</v>
      </c>
      <c r="G237" s="10">
        <v>6206.86</v>
      </c>
      <c r="H237" s="10">
        <v>3142.22</v>
      </c>
      <c r="I237" s="10">
        <v>387928.72</v>
      </c>
      <c r="J237" s="34">
        <v>1</v>
      </c>
      <c r="L237" s="123" t="str">
        <f>E238</f>
        <v>CAROL</v>
      </c>
      <c r="M237" s="123" t="s">
        <v>61</v>
      </c>
      <c r="N237" s="124">
        <f>SUM(I238:I239)</f>
        <v>696350.7</v>
      </c>
      <c r="O237" s="125">
        <f>SUM(J238:J239)</f>
        <v>1.5</v>
      </c>
    </row>
    <row r="238" spans="1:15">
      <c r="A238" s="15" t="s">
        <v>270</v>
      </c>
      <c r="B238" s="25" t="s">
        <v>273</v>
      </c>
      <c r="C238" s="39">
        <v>42</v>
      </c>
      <c r="D238" s="12">
        <v>41452</v>
      </c>
      <c r="E238" s="12" t="s">
        <v>283</v>
      </c>
      <c r="F238" s="12" t="s">
        <v>26</v>
      </c>
      <c r="G238" s="10">
        <v>7051.85</v>
      </c>
      <c r="H238" s="10">
        <v>3570</v>
      </c>
      <c r="I238" s="10">
        <v>440740.51</v>
      </c>
      <c r="J238" s="34">
        <v>1</v>
      </c>
      <c r="L238" s="11"/>
      <c r="M238" s="11"/>
      <c r="N238" s="124"/>
      <c r="O238" s="125"/>
    </row>
    <row r="239" spans="1:15">
      <c r="A239" s="15" t="s">
        <v>145</v>
      </c>
      <c r="B239" s="25" t="s">
        <v>85</v>
      </c>
      <c r="C239" s="42">
        <v>1313</v>
      </c>
      <c r="D239" s="9">
        <v>41411</v>
      </c>
      <c r="E239" s="42" t="s">
        <v>171</v>
      </c>
      <c r="F239" s="42" t="s">
        <v>26</v>
      </c>
      <c r="G239" s="10">
        <v>4089.76</v>
      </c>
      <c r="H239" s="10">
        <v>2837.27</v>
      </c>
      <c r="I239" s="10">
        <v>255610.19</v>
      </c>
      <c r="J239" s="62">
        <v>0.5</v>
      </c>
      <c r="L239" s="123" t="str">
        <f>E240</f>
        <v>DEBORA</v>
      </c>
      <c r="M239" s="123" t="s">
        <v>27</v>
      </c>
      <c r="N239" s="124">
        <f>SUM(I240:I244)</f>
        <v>1158307.2</v>
      </c>
      <c r="O239" s="125">
        <f>SUM(J240:J244)</f>
        <v>3</v>
      </c>
    </row>
    <row r="240" spans="1:15">
      <c r="A240" s="15" t="s">
        <v>145</v>
      </c>
      <c r="B240" s="25" t="s">
        <v>85</v>
      </c>
      <c r="C240" s="42">
        <v>1611</v>
      </c>
      <c r="D240" s="9">
        <v>41420</v>
      </c>
      <c r="E240" s="12" t="s">
        <v>171</v>
      </c>
      <c r="F240" s="42" t="s">
        <v>26</v>
      </c>
      <c r="G240" s="10">
        <v>2888</v>
      </c>
      <c r="H240" s="10">
        <v>2003.55</v>
      </c>
      <c r="I240" s="10">
        <v>180500</v>
      </c>
      <c r="J240" s="62">
        <v>0.5</v>
      </c>
      <c r="L240" s="11"/>
      <c r="M240" s="11"/>
      <c r="N240" s="141"/>
      <c r="O240" s="125"/>
    </row>
    <row r="241" spans="1:15">
      <c r="A241" s="15" t="s">
        <v>145</v>
      </c>
      <c r="B241" s="25" t="s">
        <v>85</v>
      </c>
      <c r="C241" s="42">
        <v>2514</v>
      </c>
      <c r="D241" s="9">
        <v>41411</v>
      </c>
      <c r="E241" s="42" t="s">
        <v>171</v>
      </c>
      <c r="F241" s="42" t="s">
        <v>26</v>
      </c>
      <c r="G241" s="10">
        <v>6426.09</v>
      </c>
      <c r="H241" s="10">
        <v>4458.1000000000004</v>
      </c>
      <c r="I241" s="10">
        <v>401630.7</v>
      </c>
      <c r="J241" s="62">
        <v>1</v>
      </c>
      <c r="L241" s="11"/>
      <c r="M241" s="11"/>
      <c r="N241" s="124"/>
      <c r="O241" s="125"/>
    </row>
    <row r="242" spans="1:15">
      <c r="A242" s="15" t="s">
        <v>124</v>
      </c>
      <c r="B242" s="25" t="s">
        <v>85</v>
      </c>
      <c r="C242" s="39">
        <v>906</v>
      </c>
      <c r="D242" s="9">
        <v>41344</v>
      </c>
      <c r="E242" s="12" t="s">
        <v>67</v>
      </c>
      <c r="F242" s="12" t="s">
        <v>26</v>
      </c>
      <c r="G242" s="10">
        <v>5921.35</v>
      </c>
      <c r="H242" s="10"/>
      <c r="I242" s="10">
        <v>218500</v>
      </c>
      <c r="J242" s="34">
        <v>0.5</v>
      </c>
      <c r="L242" s="11"/>
      <c r="M242" s="11"/>
      <c r="N242" s="124"/>
      <c r="O242" s="125"/>
    </row>
    <row r="243" spans="1:15">
      <c r="A243" s="15" t="s">
        <v>145</v>
      </c>
      <c r="B243" s="25" t="s">
        <v>85</v>
      </c>
      <c r="C243" s="42">
        <v>1611</v>
      </c>
      <c r="D243" s="9">
        <v>41420</v>
      </c>
      <c r="E243" s="12" t="s">
        <v>67</v>
      </c>
      <c r="F243" s="12" t="s">
        <v>26</v>
      </c>
      <c r="G243" s="10">
        <v>2888</v>
      </c>
      <c r="H243" s="10">
        <v>2003.55</v>
      </c>
      <c r="I243" s="10">
        <v>180500</v>
      </c>
      <c r="J243" s="62">
        <v>0.5</v>
      </c>
      <c r="L243" s="123"/>
      <c r="M243" s="123"/>
      <c r="N243" s="124"/>
      <c r="O243" s="125"/>
    </row>
    <row r="244" spans="1:15">
      <c r="A244" s="15" t="s">
        <v>145</v>
      </c>
      <c r="B244" s="25" t="s">
        <v>85</v>
      </c>
      <c r="C244" s="42">
        <v>2006</v>
      </c>
      <c r="D244" s="9">
        <v>41425</v>
      </c>
      <c r="E244" s="12" t="s">
        <v>67</v>
      </c>
      <c r="F244" s="12" t="s">
        <v>26</v>
      </c>
      <c r="G244" s="10">
        <v>2834.82</v>
      </c>
      <c r="H244" s="10">
        <v>1966.66</v>
      </c>
      <c r="I244" s="10">
        <v>177176.5</v>
      </c>
      <c r="J244" s="62">
        <v>0.5</v>
      </c>
      <c r="L244" s="123" t="str">
        <f>E245</f>
        <v>DIAS</v>
      </c>
      <c r="M244" s="123" t="s">
        <v>26</v>
      </c>
      <c r="N244" s="124">
        <f>I245</f>
        <v>474548.59</v>
      </c>
      <c r="O244" s="125">
        <f>J245</f>
        <v>1</v>
      </c>
    </row>
    <row r="245" spans="1:15">
      <c r="A245" s="15" t="s">
        <v>146</v>
      </c>
      <c r="B245" s="25" t="s">
        <v>82</v>
      </c>
      <c r="C245" s="39">
        <v>509</v>
      </c>
      <c r="D245" s="12">
        <v>41441</v>
      </c>
      <c r="E245" s="12" t="s">
        <v>67</v>
      </c>
      <c r="F245" s="12" t="s">
        <v>26</v>
      </c>
      <c r="G245" s="10">
        <v>7592.78</v>
      </c>
      <c r="H245" s="10">
        <v>5267.49</v>
      </c>
      <c r="I245" s="10">
        <v>474548.59</v>
      </c>
      <c r="J245" s="62">
        <v>1</v>
      </c>
      <c r="L245" s="123" t="str">
        <f>E246</f>
        <v>ESTHER</v>
      </c>
      <c r="M245" s="123" t="s">
        <v>79</v>
      </c>
      <c r="N245" s="124">
        <f>SUM(I246:I250)</f>
        <v>2862688.2800000003</v>
      </c>
      <c r="O245" s="125">
        <f>SUM(J246:J250)</f>
        <v>3.5</v>
      </c>
    </row>
    <row r="246" spans="1:15">
      <c r="A246" s="15" t="s">
        <v>219</v>
      </c>
      <c r="B246" s="25" t="s">
        <v>88</v>
      </c>
      <c r="C246" s="42">
        <v>148</v>
      </c>
      <c r="D246" s="9">
        <v>41335</v>
      </c>
      <c r="E246" s="12" t="s">
        <v>308</v>
      </c>
      <c r="F246" s="12" t="s">
        <v>26</v>
      </c>
      <c r="G246" s="10">
        <f>I246*1%</f>
        <v>1242.9000000000001</v>
      </c>
      <c r="H246" s="10"/>
      <c r="I246" s="10">
        <v>124290</v>
      </c>
      <c r="J246" s="34">
        <v>0.5</v>
      </c>
      <c r="L246" s="11"/>
      <c r="M246" s="11"/>
      <c r="N246" s="124"/>
      <c r="O246" s="125"/>
    </row>
    <row r="247" spans="1:15">
      <c r="A247" s="15" t="s">
        <v>124</v>
      </c>
      <c r="B247" s="25" t="s">
        <v>85</v>
      </c>
      <c r="C247" s="39">
        <v>712</v>
      </c>
      <c r="D247" s="12">
        <v>41343</v>
      </c>
      <c r="E247" s="12" t="s">
        <v>308</v>
      </c>
      <c r="F247" s="12" t="s">
        <v>26</v>
      </c>
      <c r="G247" s="10">
        <v>5055.78</v>
      </c>
      <c r="H247" s="10"/>
      <c r="I247" s="10">
        <v>186560</v>
      </c>
      <c r="J247" s="34">
        <v>0.5</v>
      </c>
      <c r="L247" s="11"/>
      <c r="M247" s="11"/>
      <c r="N247" s="124"/>
      <c r="O247" s="125"/>
    </row>
    <row r="248" spans="1:15">
      <c r="A248" s="15" t="s">
        <v>208</v>
      </c>
      <c r="B248" s="25" t="s">
        <v>226</v>
      </c>
      <c r="C248" s="39">
        <v>138</v>
      </c>
      <c r="D248" s="9">
        <v>41357</v>
      </c>
      <c r="E248" s="12" t="s">
        <v>308</v>
      </c>
      <c r="F248" s="12" t="s">
        <v>26</v>
      </c>
      <c r="G248" s="10">
        <v>3810.94</v>
      </c>
      <c r="H248" s="10"/>
      <c r="I248" s="10">
        <v>122538.28</v>
      </c>
      <c r="J248" s="62">
        <v>0.5</v>
      </c>
      <c r="L248" s="11"/>
      <c r="M248" s="11"/>
      <c r="N248" s="124"/>
      <c r="O248" s="125"/>
    </row>
    <row r="249" spans="1:15">
      <c r="A249" s="15" t="s">
        <v>213</v>
      </c>
      <c r="B249" s="25" t="s">
        <v>85</v>
      </c>
      <c r="C249" s="42">
        <v>171</v>
      </c>
      <c r="D249" s="9">
        <v>41386</v>
      </c>
      <c r="E249" s="12" t="s">
        <v>308</v>
      </c>
      <c r="F249" s="12" t="s">
        <v>26</v>
      </c>
      <c r="G249" s="10">
        <v>47265</v>
      </c>
      <c r="H249" s="10"/>
      <c r="I249" s="10">
        <v>2055000</v>
      </c>
      <c r="J249" s="62">
        <v>1</v>
      </c>
      <c r="L249" s="11"/>
      <c r="M249" s="11"/>
      <c r="N249" s="124"/>
      <c r="O249" s="125"/>
    </row>
    <row r="250" spans="1:15">
      <c r="A250" s="15" t="s">
        <v>115</v>
      </c>
      <c r="B250" s="25" t="s">
        <v>113</v>
      </c>
      <c r="C250" s="39">
        <v>173</v>
      </c>
      <c r="D250" s="12">
        <v>41283</v>
      </c>
      <c r="E250" s="12" t="s">
        <v>308</v>
      </c>
      <c r="F250" s="12" t="s">
        <v>26</v>
      </c>
      <c r="G250" s="10">
        <v>7486</v>
      </c>
      <c r="H250" s="10">
        <f>15503.51-G250</f>
        <v>8017.51</v>
      </c>
      <c r="I250" s="10">
        <v>374300</v>
      </c>
      <c r="J250" s="34">
        <v>1</v>
      </c>
      <c r="L250" s="123" t="str">
        <f>E251</f>
        <v>ESTHER</v>
      </c>
      <c r="M250" s="123" t="s">
        <v>26</v>
      </c>
      <c r="N250" s="124">
        <f>SUM(I251:I253)</f>
        <v>1483222.16</v>
      </c>
      <c r="O250" s="125">
        <f>SUM(J251:J253)</f>
        <v>3</v>
      </c>
    </row>
    <row r="251" spans="1:15">
      <c r="A251" s="15" t="s">
        <v>145</v>
      </c>
      <c r="B251" s="25" t="s">
        <v>85</v>
      </c>
      <c r="C251" s="39">
        <v>2210</v>
      </c>
      <c r="D251" s="12">
        <v>41423</v>
      </c>
      <c r="E251" s="12" t="s">
        <v>308</v>
      </c>
      <c r="F251" s="12" t="s">
        <v>26</v>
      </c>
      <c r="G251" s="10">
        <v>6278.87</v>
      </c>
      <c r="H251" s="10">
        <v>4355.97</v>
      </c>
      <c r="I251" s="10">
        <v>392429.48</v>
      </c>
      <c r="J251" s="34">
        <v>1</v>
      </c>
      <c r="L251" s="11"/>
      <c r="M251" s="11"/>
      <c r="N251" s="124"/>
      <c r="O251" s="125"/>
    </row>
    <row r="252" spans="1:15">
      <c r="A252" s="15" t="s">
        <v>145</v>
      </c>
      <c r="B252" s="25" t="s">
        <v>85</v>
      </c>
      <c r="C252" s="39">
        <v>2211</v>
      </c>
      <c r="D252" s="12">
        <v>41411</v>
      </c>
      <c r="E252" s="12" t="s">
        <v>308</v>
      </c>
      <c r="F252" s="12" t="s">
        <v>26</v>
      </c>
      <c r="G252" s="10">
        <v>6333.85</v>
      </c>
      <c r="H252" s="10">
        <v>4394.1099999999997</v>
      </c>
      <c r="I252" s="10">
        <v>395865.44</v>
      </c>
      <c r="J252" s="34">
        <v>1</v>
      </c>
      <c r="L252" s="11"/>
      <c r="M252" s="11"/>
      <c r="N252" s="124"/>
      <c r="O252" s="125"/>
    </row>
    <row r="253" spans="1:15">
      <c r="A253" s="15" t="s">
        <v>145</v>
      </c>
      <c r="B253" s="25" t="s">
        <v>85</v>
      </c>
      <c r="C253" s="39">
        <v>2212</v>
      </c>
      <c r="D253" s="12">
        <v>41411</v>
      </c>
      <c r="E253" s="12" t="s">
        <v>308</v>
      </c>
      <c r="F253" s="12" t="s">
        <v>26</v>
      </c>
      <c r="G253" s="10">
        <v>11118.84</v>
      </c>
      <c r="H253" s="10">
        <v>7713.69</v>
      </c>
      <c r="I253" s="10">
        <v>694927.24</v>
      </c>
      <c r="J253" s="34">
        <v>1</v>
      </c>
      <c r="L253" s="123" t="str">
        <f>E254</f>
        <v>ESTHER</v>
      </c>
      <c r="M253" s="123" t="s">
        <v>26</v>
      </c>
      <c r="N253" s="124">
        <f>SUM(I254:I259)</f>
        <v>2062476.4200000002</v>
      </c>
      <c r="O253" s="125">
        <f>SUM(J254:J259)</f>
        <v>4.5</v>
      </c>
    </row>
    <row r="254" spans="1:15">
      <c r="A254" s="15" t="s">
        <v>145</v>
      </c>
      <c r="B254" s="25" t="s">
        <v>85</v>
      </c>
      <c r="C254" s="42">
        <v>2411</v>
      </c>
      <c r="D254" s="9">
        <v>41411</v>
      </c>
      <c r="E254" s="12" t="s">
        <v>308</v>
      </c>
      <c r="F254" s="12" t="s">
        <v>26</v>
      </c>
      <c r="G254" s="10">
        <v>6333.85</v>
      </c>
      <c r="H254" s="10">
        <v>4394.1099999999997</v>
      </c>
      <c r="I254" s="10">
        <v>395865.44</v>
      </c>
      <c r="J254" s="62">
        <v>1</v>
      </c>
      <c r="L254" s="11"/>
      <c r="M254" s="11"/>
      <c r="N254" s="124"/>
      <c r="O254" s="125"/>
    </row>
    <row r="255" spans="1:15">
      <c r="A255" s="15" t="s">
        <v>145</v>
      </c>
      <c r="B255" s="25" t="s">
        <v>85</v>
      </c>
      <c r="C255" s="42">
        <v>2412</v>
      </c>
      <c r="D255" s="9">
        <v>41411</v>
      </c>
      <c r="E255" s="12" t="s">
        <v>308</v>
      </c>
      <c r="F255" s="12" t="s">
        <v>26</v>
      </c>
      <c r="G255" s="10">
        <v>11118.84</v>
      </c>
      <c r="H255" s="10">
        <v>7713.69</v>
      </c>
      <c r="I255" s="10">
        <v>694927.24</v>
      </c>
      <c r="J255" s="62">
        <v>1</v>
      </c>
      <c r="L255" s="11"/>
      <c r="M255" s="11"/>
      <c r="N255" s="124"/>
      <c r="O255" s="125"/>
    </row>
    <row r="256" spans="1:15">
      <c r="A256" s="15" t="s">
        <v>145</v>
      </c>
      <c r="B256" s="25" t="s">
        <v>85</v>
      </c>
      <c r="C256" s="42">
        <v>2010</v>
      </c>
      <c r="D256" s="9">
        <v>41420</v>
      </c>
      <c r="E256" s="12" t="s">
        <v>168</v>
      </c>
      <c r="F256" s="12" t="s">
        <v>26</v>
      </c>
      <c r="G256" s="10">
        <v>3199.8</v>
      </c>
      <c r="H256" s="10">
        <v>2219.86</v>
      </c>
      <c r="I256" s="10">
        <v>199987.05</v>
      </c>
      <c r="J256" s="62">
        <v>0.5</v>
      </c>
      <c r="L256" s="11"/>
      <c r="M256" s="11"/>
      <c r="N256" s="124"/>
      <c r="O256" s="125"/>
    </row>
    <row r="257" spans="1:15">
      <c r="A257" s="15" t="s">
        <v>145</v>
      </c>
      <c r="B257" s="25" t="s">
        <v>85</v>
      </c>
      <c r="C257" s="39">
        <v>1201</v>
      </c>
      <c r="D257" s="9">
        <v>41441</v>
      </c>
      <c r="E257" s="12" t="s">
        <v>168</v>
      </c>
      <c r="F257" s="12" t="s">
        <v>26</v>
      </c>
      <c r="G257" s="10">
        <v>2905.75</v>
      </c>
      <c r="H257" s="10">
        <v>2015.86</v>
      </c>
      <c r="I257" s="10">
        <v>181609.12</v>
      </c>
      <c r="J257" s="62">
        <v>0.5</v>
      </c>
      <c r="L257" s="11"/>
      <c r="M257" s="11"/>
      <c r="N257" s="124"/>
      <c r="O257" s="125"/>
    </row>
    <row r="258" spans="1:15">
      <c r="A258" s="15" t="s">
        <v>145</v>
      </c>
      <c r="B258" s="25" t="s">
        <v>85</v>
      </c>
      <c r="C258" s="39">
        <v>1811</v>
      </c>
      <c r="D258" s="12">
        <v>41413</v>
      </c>
      <c r="E258" s="12" t="s">
        <v>148</v>
      </c>
      <c r="F258" s="12" t="s">
        <v>26</v>
      </c>
      <c r="G258" s="10">
        <v>6241.61</v>
      </c>
      <c r="H258" s="10">
        <v>4330.12</v>
      </c>
      <c r="I258" s="10">
        <v>390100.52</v>
      </c>
      <c r="J258" s="62">
        <v>1</v>
      </c>
      <c r="L258" s="11"/>
      <c r="M258" s="11"/>
      <c r="N258" s="124"/>
      <c r="O258" s="125"/>
    </row>
    <row r="259" spans="1:15">
      <c r="A259" s="15" t="s">
        <v>145</v>
      </c>
      <c r="B259" s="25" t="s">
        <v>85</v>
      </c>
      <c r="C259" s="42">
        <v>2010</v>
      </c>
      <c r="D259" s="9">
        <v>41420</v>
      </c>
      <c r="E259" s="12" t="s">
        <v>148</v>
      </c>
      <c r="F259" s="12" t="s">
        <v>26</v>
      </c>
      <c r="G259" s="10">
        <v>3199.8</v>
      </c>
      <c r="H259" s="10">
        <v>2219.86</v>
      </c>
      <c r="I259" s="10">
        <v>199987.05</v>
      </c>
      <c r="J259" s="62">
        <v>0.5</v>
      </c>
      <c r="L259" s="123" t="str">
        <f>E260</f>
        <v>HAMILTON</v>
      </c>
      <c r="M259" s="123" t="s">
        <v>79</v>
      </c>
      <c r="N259" s="124">
        <f>I260</f>
        <v>214848.07</v>
      </c>
      <c r="O259" s="125">
        <f>J260</f>
        <v>0.5</v>
      </c>
    </row>
    <row r="260" spans="1:15">
      <c r="A260" s="15" t="s">
        <v>124</v>
      </c>
      <c r="B260" s="25" t="s">
        <v>85</v>
      </c>
      <c r="C260" s="39">
        <v>101</v>
      </c>
      <c r="D260" s="9">
        <v>41343</v>
      </c>
      <c r="E260" s="12" t="s">
        <v>69</v>
      </c>
      <c r="F260" s="12" t="s">
        <v>26</v>
      </c>
      <c r="G260" s="10">
        <v>5822.36</v>
      </c>
      <c r="H260" s="10"/>
      <c r="I260" s="10">
        <v>214848.07</v>
      </c>
      <c r="J260" s="62">
        <v>0.5</v>
      </c>
      <c r="L260" s="123" t="str">
        <f>E261</f>
        <v>HAROLDO</v>
      </c>
      <c r="M260" s="123" t="s">
        <v>27</v>
      </c>
      <c r="N260" s="124">
        <f>SUM(I261:I267)</f>
        <v>2215720.7000000002</v>
      </c>
      <c r="O260" s="125">
        <f>SUM(J261:J267)</f>
        <v>5.25</v>
      </c>
    </row>
    <row r="261" spans="1:15">
      <c r="A261" s="15" t="s">
        <v>124</v>
      </c>
      <c r="B261" s="25" t="s">
        <v>85</v>
      </c>
      <c r="C261" s="39">
        <v>112</v>
      </c>
      <c r="D261" s="9">
        <v>41344</v>
      </c>
      <c r="E261" s="12" t="s">
        <v>68</v>
      </c>
      <c r="F261" s="12" t="s">
        <v>26</v>
      </c>
      <c r="G261" s="10">
        <v>11644.77</v>
      </c>
      <c r="H261" s="10"/>
      <c r="I261" s="10">
        <v>429696.14</v>
      </c>
      <c r="J261" s="34">
        <v>1</v>
      </c>
      <c r="L261" s="11"/>
      <c r="M261" s="11"/>
      <c r="N261" s="124"/>
      <c r="O261" s="125"/>
    </row>
    <row r="262" spans="1:15">
      <c r="A262" s="15" t="s">
        <v>145</v>
      </c>
      <c r="B262" s="25" t="s">
        <v>85</v>
      </c>
      <c r="C262" s="42">
        <v>2011</v>
      </c>
      <c r="D262" s="9">
        <v>41420</v>
      </c>
      <c r="E262" s="12" t="s">
        <v>169</v>
      </c>
      <c r="F262" s="12" t="s">
        <v>26</v>
      </c>
      <c r="G262" s="10">
        <v>3199.8</v>
      </c>
      <c r="H262" s="10">
        <v>2219.86</v>
      </c>
      <c r="I262" s="10">
        <v>199987.05</v>
      </c>
      <c r="J262" s="62">
        <v>0.5</v>
      </c>
      <c r="L262" s="11"/>
      <c r="M262" s="11"/>
      <c r="N262" s="124"/>
      <c r="O262" s="125"/>
    </row>
    <row r="263" spans="1:15">
      <c r="A263" s="15" t="s">
        <v>124</v>
      </c>
      <c r="B263" s="25" t="s">
        <v>85</v>
      </c>
      <c r="C263" s="39">
        <v>301</v>
      </c>
      <c r="D263" s="9">
        <v>41343</v>
      </c>
      <c r="E263" s="12" t="s">
        <v>104</v>
      </c>
      <c r="F263" s="12" t="s">
        <v>26</v>
      </c>
      <c r="G263" s="10">
        <v>5822.39</v>
      </c>
      <c r="H263" s="10"/>
      <c r="I263" s="10">
        <v>214848.07</v>
      </c>
      <c r="J263" s="34">
        <v>0.5</v>
      </c>
      <c r="L263" s="11"/>
      <c r="M263" s="11"/>
      <c r="N263" s="124"/>
      <c r="O263" s="125"/>
    </row>
    <row r="264" spans="1:15">
      <c r="A264" s="15" t="s">
        <v>124</v>
      </c>
      <c r="B264" s="25" t="s">
        <v>85</v>
      </c>
      <c r="C264" s="39">
        <v>302</v>
      </c>
      <c r="D264" s="9">
        <v>41343</v>
      </c>
      <c r="E264" s="12" t="s">
        <v>104</v>
      </c>
      <c r="F264" s="12" t="s">
        <v>26</v>
      </c>
      <c r="G264" s="10">
        <v>2867.33</v>
      </c>
      <c r="H264" s="10"/>
      <c r="I264" s="10">
        <v>109440</v>
      </c>
      <c r="J264" s="62">
        <v>0.25</v>
      </c>
      <c r="L264" s="11"/>
      <c r="M264" s="11"/>
      <c r="N264" s="124"/>
      <c r="O264" s="125"/>
    </row>
    <row r="265" spans="1:15">
      <c r="A265" s="15" t="s">
        <v>145</v>
      </c>
      <c r="B265" s="25" t="s">
        <v>85</v>
      </c>
      <c r="C265" s="42">
        <v>1507</v>
      </c>
      <c r="D265" s="9">
        <v>41420</v>
      </c>
      <c r="E265" s="12" t="s">
        <v>104</v>
      </c>
      <c r="F265" s="12" t="s">
        <v>26</v>
      </c>
      <c r="G265" s="10">
        <v>6100</v>
      </c>
      <c r="H265" s="10">
        <v>0</v>
      </c>
      <c r="I265" s="10">
        <v>381250</v>
      </c>
      <c r="J265" s="62">
        <v>1</v>
      </c>
      <c r="L265" s="11"/>
      <c r="M265" s="11"/>
      <c r="N265" s="124"/>
      <c r="O265" s="125"/>
    </row>
    <row r="266" spans="1:15">
      <c r="A266" s="15" t="s">
        <v>124</v>
      </c>
      <c r="B266" s="25" t="s">
        <v>85</v>
      </c>
      <c r="C266" s="39">
        <v>606</v>
      </c>
      <c r="D266" s="9">
        <v>41343</v>
      </c>
      <c r="E266" s="12" t="s">
        <v>66</v>
      </c>
      <c r="F266" s="12" t="s">
        <v>26</v>
      </c>
      <c r="G266" s="10">
        <v>11930.77</v>
      </c>
      <c r="H266" s="10"/>
      <c r="I266" s="10">
        <v>440249.72</v>
      </c>
      <c r="J266" s="34">
        <v>1</v>
      </c>
      <c r="L266" s="11"/>
      <c r="M266" s="11"/>
      <c r="N266" s="124"/>
      <c r="O266" s="125"/>
    </row>
    <row r="267" spans="1:15">
      <c r="A267" s="15" t="s">
        <v>124</v>
      </c>
      <c r="B267" s="25" t="s">
        <v>85</v>
      </c>
      <c r="C267" s="39">
        <v>607</v>
      </c>
      <c r="D267" s="9">
        <v>41343</v>
      </c>
      <c r="E267" s="12" t="s">
        <v>66</v>
      </c>
      <c r="F267" s="12" t="s">
        <v>26</v>
      </c>
      <c r="G267" s="10">
        <v>11930.77</v>
      </c>
      <c r="H267" s="10"/>
      <c r="I267" s="10">
        <v>440249.72</v>
      </c>
      <c r="J267" s="34">
        <v>1</v>
      </c>
      <c r="L267" s="123" t="str">
        <f>E268</f>
        <v>KATE</v>
      </c>
      <c r="M267" s="123" t="s">
        <v>25</v>
      </c>
      <c r="N267" s="124">
        <f>SUM(I268:I269)</f>
        <v>836000</v>
      </c>
      <c r="O267" s="125">
        <f>SUM(J268:J269)</f>
        <v>2</v>
      </c>
    </row>
    <row r="268" spans="1:15">
      <c r="A268" s="15" t="s">
        <v>124</v>
      </c>
      <c r="B268" s="25" t="s">
        <v>85</v>
      </c>
      <c r="C268" s="39">
        <v>901</v>
      </c>
      <c r="D268" s="9">
        <v>41343</v>
      </c>
      <c r="E268" s="12" t="s">
        <v>66</v>
      </c>
      <c r="F268" s="12" t="s">
        <v>26</v>
      </c>
      <c r="G268" s="10">
        <v>11327.8</v>
      </c>
      <c r="H268" s="10"/>
      <c r="I268" s="10">
        <v>418000</v>
      </c>
      <c r="J268" s="34">
        <v>1</v>
      </c>
      <c r="L268" s="11"/>
      <c r="M268" s="11"/>
      <c r="N268" s="124"/>
      <c r="O268" s="125"/>
    </row>
    <row r="269" spans="1:15">
      <c r="A269" s="15" t="s">
        <v>124</v>
      </c>
      <c r="B269" s="25" t="s">
        <v>85</v>
      </c>
      <c r="C269" s="39">
        <v>912</v>
      </c>
      <c r="D269" s="9">
        <v>41343</v>
      </c>
      <c r="E269" s="12" t="s">
        <v>66</v>
      </c>
      <c r="F269" s="12" t="s">
        <v>26</v>
      </c>
      <c r="G269" s="10">
        <v>11327.8</v>
      </c>
      <c r="H269" s="10"/>
      <c r="I269" s="10">
        <v>418000</v>
      </c>
      <c r="J269" s="34">
        <v>1</v>
      </c>
      <c r="L269" s="123" t="str">
        <f>E270</f>
        <v>KATE</v>
      </c>
      <c r="M269" s="123" t="s">
        <v>24</v>
      </c>
      <c r="N269" s="124">
        <f>SUM(I270:I273)</f>
        <v>1853930.63</v>
      </c>
      <c r="O269" s="125">
        <f>SUM(J270:J273)</f>
        <v>3.5</v>
      </c>
    </row>
    <row r="270" spans="1:15">
      <c r="A270" s="15" t="s">
        <v>124</v>
      </c>
      <c r="B270" s="25" t="s">
        <v>85</v>
      </c>
      <c r="C270" s="39">
        <v>1102</v>
      </c>
      <c r="D270" s="9">
        <v>41343</v>
      </c>
      <c r="E270" s="12" t="s">
        <v>66</v>
      </c>
      <c r="F270" s="12" t="s">
        <v>26</v>
      </c>
      <c r="G270" s="10">
        <v>13487.09</v>
      </c>
      <c r="H270" s="10"/>
      <c r="I270" s="10">
        <v>497678.49</v>
      </c>
      <c r="J270" s="34">
        <v>1</v>
      </c>
      <c r="L270" s="11"/>
      <c r="M270" s="11"/>
      <c r="N270" s="124"/>
      <c r="O270" s="125"/>
    </row>
    <row r="271" spans="1:15">
      <c r="A271" s="15" t="s">
        <v>124</v>
      </c>
      <c r="B271" s="25" t="s">
        <v>85</v>
      </c>
      <c r="C271" s="39">
        <v>1103</v>
      </c>
      <c r="D271" s="9">
        <v>41343</v>
      </c>
      <c r="E271" s="12" t="s">
        <v>66</v>
      </c>
      <c r="F271" s="12" t="s">
        <v>26</v>
      </c>
      <c r="G271" s="10">
        <v>13061.17</v>
      </c>
      <c r="H271" s="10"/>
      <c r="I271" s="10">
        <v>481962.14</v>
      </c>
      <c r="J271" s="34">
        <v>1</v>
      </c>
      <c r="L271" s="11"/>
      <c r="M271" s="11"/>
      <c r="N271" s="124"/>
      <c r="O271" s="125"/>
    </row>
    <row r="272" spans="1:15">
      <c r="A272" s="15" t="s">
        <v>219</v>
      </c>
      <c r="B272" s="25" t="s">
        <v>88</v>
      </c>
      <c r="C272" s="42">
        <v>148</v>
      </c>
      <c r="D272" s="9">
        <v>41335</v>
      </c>
      <c r="E272" s="12" t="s">
        <v>56</v>
      </c>
      <c r="F272" s="12" t="s">
        <v>26</v>
      </c>
      <c r="G272" s="10">
        <f>I272*1%</f>
        <v>1242.9000000000001</v>
      </c>
      <c r="H272" s="10"/>
      <c r="I272" s="10">
        <v>124290</v>
      </c>
      <c r="J272" s="34">
        <v>0.5</v>
      </c>
      <c r="L272" s="11"/>
      <c r="M272" s="11"/>
      <c r="N272" s="124"/>
      <c r="O272" s="125"/>
    </row>
    <row r="273" spans="1:15">
      <c r="A273" s="15" t="s">
        <v>54</v>
      </c>
      <c r="B273" s="25" t="s">
        <v>121</v>
      </c>
      <c r="C273" s="42">
        <v>43</v>
      </c>
      <c r="D273" s="9">
        <v>41354</v>
      </c>
      <c r="E273" s="12" t="s">
        <v>56</v>
      </c>
      <c r="F273" s="12" t="s">
        <v>26</v>
      </c>
      <c r="G273" s="10">
        <f>I273*2%</f>
        <v>15000</v>
      </c>
      <c r="H273" s="10"/>
      <c r="I273" s="10">
        <v>750000</v>
      </c>
      <c r="J273" s="34">
        <v>1</v>
      </c>
      <c r="L273" s="123" t="str">
        <f>E274</f>
        <v>LUSIMERE</v>
      </c>
      <c r="M273" s="123" t="s">
        <v>25</v>
      </c>
      <c r="N273" s="124">
        <f>SUM(I274:I279)</f>
        <v>4668899.5199999996</v>
      </c>
      <c r="O273" s="125">
        <f>SUM(J274:J279)</f>
        <v>5.25</v>
      </c>
    </row>
    <row r="274" spans="1:15">
      <c r="A274" s="15" t="s">
        <v>54</v>
      </c>
      <c r="B274" s="25" t="s">
        <v>121</v>
      </c>
      <c r="C274" s="39">
        <v>154</v>
      </c>
      <c r="D274" s="9">
        <v>41346</v>
      </c>
      <c r="E274" s="12" t="s">
        <v>56</v>
      </c>
      <c r="F274" s="12" t="s">
        <v>26</v>
      </c>
      <c r="G274" s="10">
        <f>I274*0.4%</f>
        <v>3040</v>
      </c>
      <c r="H274" s="10"/>
      <c r="I274" s="10">
        <v>760000</v>
      </c>
      <c r="J274" s="34">
        <v>1</v>
      </c>
      <c r="L274" s="11"/>
      <c r="M274" s="11"/>
      <c r="N274" s="124"/>
      <c r="O274" s="125"/>
    </row>
    <row r="275" spans="1:15">
      <c r="A275" s="11" t="s">
        <v>269</v>
      </c>
      <c r="B275" s="25" t="s">
        <v>85</v>
      </c>
      <c r="C275" s="25">
        <v>151</v>
      </c>
      <c r="D275" s="98">
        <v>41439</v>
      </c>
      <c r="E275" s="25" t="s">
        <v>267</v>
      </c>
      <c r="F275" s="25" t="s">
        <v>26</v>
      </c>
      <c r="G275" s="105">
        <v>20947.29</v>
      </c>
      <c r="H275" s="105">
        <v>0</v>
      </c>
      <c r="I275" s="105">
        <v>568250</v>
      </c>
      <c r="J275" s="25">
        <v>0.25</v>
      </c>
      <c r="L275" s="11"/>
      <c r="M275" s="11"/>
      <c r="N275" s="124"/>
      <c r="O275" s="125"/>
    </row>
    <row r="276" spans="1:15">
      <c r="A276" s="15" t="s">
        <v>145</v>
      </c>
      <c r="B276" s="25" t="s">
        <v>85</v>
      </c>
      <c r="C276" s="39">
        <v>1013</v>
      </c>
      <c r="D276" s="12">
        <v>41411</v>
      </c>
      <c r="E276" s="12" t="s">
        <v>147</v>
      </c>
      <c r="F276" s="25" t="s">
        <v>26</v>
      </c>
      <c r="G276" s="10">
        <v>7429.1</v>
      </c>
      <c r="H276" s="10">
        <v>5153.9399999999996</v>
      </c>
      <c r="I276" s="10">
        <v>464318.64</v>
      </c>
      <c r="J276" s="62">
        <v>1</v>
      </c>
      <c r="L276" s="11"/>
      <c r="M276" s="11"/>
      <c r="N276" s="124"/>
      <c r="O276" s="125"/>
    </row>
    <row r="277" spans="1:15">
      <c r="A277" s="15" t="s">
        <v>145</v>
      </c>
      <c r="B277" s="25" t="s">
        <v>85</v>
      </c>
      <c r="C277" s="39">
        <v>1115</v>
      </c>
      <c r="D277" s="12">
        <v>41413</v>
      </c>
      <c r="E277" s="12" t="s">
        <v>147</v>
      </c>
      <c r="F277" s="25" t="s">
        <v>26</v>
      </c>
      <c r="G277" s="10">
        <f>I277*1.6%</f>
        <v>5712.1707200000001</v>
      </c>
      <c r="H277" s="10">
        <f>I277*1.11%</f>
        <v>3962.8184369999999</v>
      </c>
      <c r="I277" s="10">
        <v>357010.67</v>
      </c>
      <c r="J277" s="62">
        <v>1</v>
      </c>
      <c r="L277" s="11"/>
      <c r="M277" s="11"/>
      <c r="N277" s="124"/>
      <c r="O277" s="125"/>
    </row>
    <row r="278" spans="1:15">
      <c r="A278" s="15" t="s">
        <v>145</v>
      </c>
      <c r="B278" s="25" t="s">
        <v>85</v>
      </c>
      <c r="C278" s="39">
        <v>1908</v>
      </c>
      <c r="D278" s="12">
        <v>41413</v>
      </c>
      <c r="E278" s="12" t="s">
        <v>147</v>
      </c>
      <c r="F278" s="25" t="s">
        <v>26</v>
      </c>
      <c r="G278" s="10">
        <v>7509.12</v>
      </c>
      <c r="H278" s="10">
        <v>5209.45</v>
      </c>
      <c r="I278" s="10">
        <v>469320.21</v>
      </c>
      <c r="J278" s="62">
        <v>1</v>
      </c>
      <c r="L278" s="11"/>
      <c r="M278" s="11"/>
      <c r="N278" s="124"/>
      <c r="O278" s="125"/>
    </row>
    <row r="279" spans="1:15">
      <c r="A279" s="15" t="s">
        <v>213</v>
      </c>
      <c r="B279" s="25" t="s">
        <v>225</v>
      </c>
      <c r="C279" s="42">
        <v>181</v>
      </c>
      <c r="D279" s="9">
        <v>41344</v>
      </c>
      <c r="E279" s="12" t="s">
        <v>309</v>
      </c>
      <c r="F279" s="12" t="s">
        <v>26</v>
      </c>
      <c r="G279" s="10">
        <f>I279*1.6%</f>
        <v>32800</v>
      </c>
      <c r="H279" s="10"/>
      <c r="I279" s="10">
        <v>2050000</v>
      </c>
      <c r="J279" s="34">
        <v>1</v>
      </c>
      <c r="L279" s="123" t="str">
        <f>E280</f>
        <v>MARTA</v>
      </c>
      <c r="M279" s="123" t="s">
        <v>24</v>
      </c>
      <c r="N279" s="124">
        <f>I280</f>
        <v>446880.01</v>
      </c>
      <c r="O279" s="125">
        <f>J280</f>
        <v>1</v>
      </c>
    </row>
    <row r="280" spans="1:15">
      <c r="A280" s="15" t="s">
        <v>124</v>
      </c>
      <c r="B280" s="25" t="s">
        <v>85</v>
      </c>
      <c r="C280" s="39">
        <v>608</v>
      </c>
      <c r="D280" s="9">
        <v>41344</v>
      </c>
      <c r="E280" s="12" t="s">
        <v>309</v>
      </c>
      <c r="F280" s="12" t="s">
        <v>26</v>
      </c>
      <c r="G280" s="10">
        <v>12110.45</v>
      </c>
      <c r="H280" s="10"/>
      <c r="I280" s="10">
        <v>446880.01</v>
      </c>
      <c r="J280" s="34">
        <v>1</v>
      </c>
      <c r="L280" s="123" t="str">
        <f>E281</f>
        <v>MARTA</v>
      </c>
      <c r="M280" s="123" t="s">
        <v>24</v>
      </c>
      <c r="N280" s="124">
        <f>SUM(I281:I287)</f>
        <v>2468389.27</v>
      </c>
      <c r="O280" s="125">
        <f>SUM(J281:J287)</f>
        <v>6</v>
      </c>
    </row>
    <row r="281" spans="1:15">
      <c r="A281" s="15" t="s">
        <v>124</v>
      </c>
      <c r="B281" s="25" t="s">
        <v>85</v>
      </c>
      <c r="C281" s="39">
        <v>906</v>
      </c>
      <c r="D281" s="9">
        <v>41344</v>
      </c>
      <c r="E281" s="12" t="s">
        <v>309</v>
      </c>
      <c r="F281" s="12" t="s">
        <v>26</v>
      </c>
      <c r="G281" s="10">
        <v>5921.35</v>
      </c>
      <c r="H281" s="10"/>
      <c r="I281" s="10">
        <v>218500</v>
      </c>
      <c r="J281" s="34">
        <v>0.5</v>
      </c>
      <c r="L281" s="11"/>
      <c r="M281" s="11"/>
      <c r="N281" s="124"/>
      <c r="O281" s="125"/>
    </row>
    <row r="282" spans="1:15">
      <c r="A282" s="15" t="s">
        <v>124</v>
      </c>
      <c r="B282" s="25" t="s">
        <v>85</v>
      </c>
      <c r="C282" s="39">
        <v>1107</v>
      </c>
      <c r="D282" s="9">
        <v>41344</v>
      </c>
      <c r="E282" s="12" t="s">
        <v>309</v>
      </c>
      <c r="F282" s="12" t="s">
        <v>26</v>
      </c>
      <c r="G282" s="10">
        <v>11037.01</v>
      </c>
      <c r="H282" s="10"/>
      <c r="I282" s="10">
        <v>407269.77</v>
      </c>
      <c r="J282" s="34">
        <v>1</v>
      </c>
      <c r="L282" s="11"/>
      <c r="M282" s="11"/>
      <c r="N282" s="124"/>
      <c r="O282" s="125"/>
    </row>
    <row r="283" spans="1:15">
      <c r="A283" s="15" t="s">
        <v>124</v>
      </c>
      <c r="B283" s="25" t="s">
        <v>85</v>
      </c>
      <c r="C283" s="39">
        <v>1407</v>
      </c>
      <c r="D283" s="9">
        <v>41344</v>
      </c>
      <c r="E283" s="12" t="s">
        <v>309</v>
      </c>
      <c r="F283" s="12" t="s">
        <v>26</v>
      </c>
      <c r="G283" s="10">
        <v>11203.49</v>
      </c>
      <c r="H283" s="10"/>
      <c r="I283" s="10">
        <v>413413</v>
      </c>
      <c r="J283" s="34">
        <v>1</v>
      </c>
      <c r="L283" s="11"/>
      <c r="M283" s="11"/>
      <c r="N283" s="124"/>
      <c r="O283" s="125"/>
    </row>
    <row r="284" spans="1:15">
      <c r="A284" s="15" t="s">
        <v>124</v>
      </c>
      <c r="B284" s="25" t="s">
        <v>85</v>
      </c>
      <c r="C284" s="39">
        <v>1408</v>
      </c>
      <c r="D284" s="9">
        <v>41344</v>
      </c>
      <c r="E284" s="12" t="s">
        <v>309</v>
      </c>
      <c r="F284" s="12" t="s">
        <v>26</v>
      </c>
      <c r="G284" s="10">
        <v>11363.84</v>
      </c>
      <c r="H284" s="10"/>
      <c r="I284" s="10">
        <v>419330</v>
      </c>
      <c r="J284" s="34">
        <v>1</v>
      </c>
      <c r="L284" s="11"/>
      <c r="M284" s="11"/>
      <c r="N284" s="124"/>
      <c r="O284" s="125"/>
    </row>
    <row r="285" spans="1:15">
      <c r="A285" s="15" t="s">
        <v>145</v>
      </c>
      <c r="B285" s="25" t="s">
        <v>85</v>
      </c>
      <c r="C285" s="42">
        <v>504</v>
      </c>
      <c r="D285" s="9">
        <v>41422</v>
      </c>
      <c r="E285" s="12" t="s">
        <v>309</v>
      </c>
      <c r="F285" s="12" t="s">
        <v>26</v>
      </c>
      <c r="G285" s="10">
        <v>7632</v>
      </c>
      <c r="H285" s="10">
        <v>1774.44</v>
      </c>
      <c r="I285" s="10">
        <v>477000</v>
      </c>
      <c r="J285" s="62">
        <v>1</v>
      </c>
      <c r="L285" s="11"/>
      <c r="M285" s="11"/>
      <c r="N285" s="124"/>
      <c r="O285" s="125"/>
    </row>
    <row r="286" spans="1:15">
      <c r="A286" s="15" t="s">
        <v>145</v>
      </c>
      <c r="B286" s="25" t="s">
        <v>85</v>
      </c>
      <c r="C286" s="39">
        <v>1410</v>
      </c>
      <c r="D286" s="9">
        <v>41413</v>
      </c>
      <c r="E286" s="12" t="s">
        <v>309</v>
      </c>
      <c r="F286" s="12" t="s">
        <v>26</v>
      </c>
      <c r="G286" s="10">
        <v>5691.2</v>
      </c>
      <c r="H286" s="10">
        <v>3948.27</v>
      </c>
      <c r="I286" s="10">
        <v>355700</v>
      </c>
      <c r="J286" s="62">
        <v>1</v>
      </c>
      <c r="L286" s="11"/>
      <c r="M286" s="11"/>
      <c r="N286" s="124"/>
      <c r="O286" s="125"/>
    </row>
    <row r="287" spans="1:15">
      <c r="A287" s="15" t="s">
        <v>145</v>
      </c>
      <c r="B287" s="25" t="s">
        <v>85</v>
      </c>
      <c r="C287" s="42">
        <v>2006</v>
      </c>
      <c r="D287" s="9">
        <v>41425</v>
      </c>
      <c r="E287" s="12" t="s">
        <v>309</v>
      </c>
      <c r="F287" s="12" t="s">
        <v>26</v>
      </c>
      <c r="G287" s="10">
        <v>2834.82</v>
      </c>
      <c r="H287" s="10">
        <v>1966.66</v>
      </c>
      <c r="I287" s="10">
        <v>177176.5</v>
      </c>
      <c r="J287" s="62">
        <v>0.5</v>
      </c>
      <c r="L287" s="123" t="str">
        <f>E288</f>
        <v>MAURO</v>
      </c>
      <c r="M287" s="123" t="s">
        <v>61</v>
      </c>
      <c r="N287" s="124">
        <f>SUM(I288:I289)</f>
        <v>585714.5</v>
      </c>
      <c r="O287" s="125">
        <f>SUM(J288:J289)</f>
        <v>2</v>
      </c>
    </row>
    <row r="288" spans="1:15">
      <c r="A288" s="15" t="s">
        <v>57</v>
      </c>
      <c r="B288" s="25" t="s">
        <v>85</v>
      </c>
      <c r="C288" s="42">
        <v>196</v>
      </c>
      <c r="D288" s="9">
        <v>41439</v>
      </c>
      <c r="E288" s="12" t="s">
        <v>253</v>
      </c>
      <c r="F288" s="12" t="s">
        <v>26</v>
      </c>
      <c r="G288" s="10">
        <v>6670.29</v>
      </c>
      <c r="H288" s="10">
        <v>0</v>
      </c>
      <c r="I288" s="10">
        <v>333514.5</v>
      </c>
      <c r="J288" s="62">
        <v>1</v>
      </c>
      <c r="L288" s="11"/>
      <c r="M288" s="11"/>
      <c r="N288" s="124"/>
      <c r="O288" s="125"/>
    </row>
    <row r="289" spans="1:15">
      <c r="A289" s="15" t="s">
        <v>57</v>
      </c>
      <c r="B289" s="25" t="s">
        <v>226</v>
      </c>
      <c r="C289" s="42">
        <v>128</v>
      </c>
      <c r="D289" s="9">
        <v>41281</v>
      </c>
      <c r="E289" s="12" t="s">
        <v>20</v>
      </c>
      <c r="F289" s="12" t="s">
        <v>26</v>
      </c>
      <c r="G289" s="10">
        <v>5044</v>
      </c>
      <c r="H289" s="10">
        <f>7843.42-G289</f>
        <v>2799.42</v>
      </c>
      <c r="I289" s="10">
        <v>252200</v>
      </c>
      <c r="J289" s="34">
        <v>1</v>
      </c>
      <c r="L289" s="123" t="str">
        <f>E290</f>
        <v>TINO</v>
      </c>
      <c r="M289" s="123" t="s">
        <v>26</v>
      </c>
      <c r="N289" s="124">
        <f>SUM(I290:I292)</f>
        <v>1805310</v>
      </c>
      <c r="O289" s="125">
        <f>SUM(J290:J292)</f>
        <v>3</v>
      </c>
    </row>
    <row r="290" spans="1:15">
      <c r="A290" s="15" t="s">
        <v>53</v>
      </c>
      <c r="B290" s="25" t="s">
        <v>82</v>
      </c>
      <c r="C290" s="39">
        <v>11</v>
      </c>
      <c r="D290" s="12">
        <v>41371</v>
      </c>
      <c r="E290" s="12" t="s">
        <v>20</v>
      </c>
      <c r="F290" s="12" t="s">
        <v>26</v>
      </c>
      <c r="G290" s="10">
        <f>I290*1.6%</f>
        <v>8000</v>
      </c>
      <c r="H290" s="10"/>
      <c r="I290" s="10">
        <v>500000</v>
      </c>
      <c r="J290" s="34">
        <v>1</v>
      </c>
      <c r="L290" s="11"/>
      <c r="M290" s="11"/>
      <c r="N290" s="124"/>
      <c r="O290" s="125"/>
    </row>
    <row r="291" spans="1:15">
      <c r="A291" s="15" t="s">
        <v>53</v>
      </c>
      <c r="B291" s="25" t="s">
        <v>82</v>
      </c>
      <c r="C291" s="39">
        <v>62</v>
      </c>
      <c r="D291" s="12">
        <v>41378</v>
      </c>
      <c r="E291" s="12" t="s">
        <v>20</v>
      </c>
      <c r="F291" s="12" t="s">
        <v>26</v>
      </c>
      <c r="G291" s="10">
        <f>I291*1.6%</f>
        <v>10216.800000000001</v>
      </c>
      <c r="H291" s="10"/>
      <c r="I291" s="10">
        <v>638550</v>
      </c>
      <c r="J291" s="34">
        <v>1</v>
      </c>
      <c r="L291" s="11"/>
      <c r="M291" s="11"/>
      <c r="N291" s="124"/>
      <c r="O291" s="125"/>
    </row>
    <row r="292" spans="1:15">
      <c r="A292" s="15" t="s">
        <v>53</v>
      </c>
      <c r="B292" s="25" t="s">
        <v>82</v>
      </c>
      <c r="C292" s="39">
        <v>63</v>
      </c>
      <c r="D292" s="12">
        <v>41378</v>
      </c>
      <c r="E292" s="12" t="s">
        <v>20</v>
      </c>
      <c r="F292" s="12" t="s">
        <v>26</v>
      </c>
      <c r="G292" s="10">
        <f>I292*1.6%</f>
        <v>10668.16</v>
      </c>
      <c r="H292" s="10"/>
      <c r="I292" s="10">
        <v>666760</v>
      </c>
      <c r="J292" s="34">
        <v>1</v>
      </c>
      <c r="L292" s="123" t="str">
        <f>E293</f>
        <v>VERA</v>
      </c>
      <c r="M292" s="123" t="s">
        <v>27</v>
      </c>
      <c r="N292" s="124">
        <f>SUM(I293:I301)</f>
        <v>6678468.5499999998</v>
      </c>
      <c r="O292" s="125">
        <f>SUM(J293:J301)</f>
        <v>9</v>
      </c>
    </row>
    <row r="293" spans="1:15">
      <c r="A293" s="15" t="s">
        <v>89</v>
      </c>
      <c r="B293" s="25" t="s">
        <v>225</v>
      </c>
      <c r="C293" s="39">
        <v>101</v>
      </c>
      <c r="D293" s="9">
        <v>41333</v>
      </c>
      <c r="E293" s="12" t="s">
        <v>52</v>
      </c>
      <c r="F293" s="12" t="s">
        <v>26</v>
      </c>
      <c r="G293" s="10">
        <f>I293*2%</f>
        <v>43800</v>
      </c>
      <c r="H293" s="10">
        <f>68109-G293</f>
        <v>24309</v>
      </c>
      <c r="I293" s="10">
        <v>2190000</v>
      </c>
      <c r="J293" s="34">
        <v>1</v>
      </c>
      <c r="L293" s="11"/>
      <c r="M293" s="11"/>
      <c r="N293" s="124"/>
      <c r="O293" s="125"/>
    </row>
    <row r="294" spans="1:15">
      <c r="A294" s="15" t="s">
        <v>269</v>
      </c>
      <c r="B294" s="25" t="s">
        <v>85</v>
      </c>
      <c r="C294" s="39">
        <v>131</v>
      </c>
      <c r="D294" s="12">
        <v>41452</v>
      </c>
      <c r="E294" s="12" t="s">
        <v>52</v>
      </c>
      <c r="F294" s="12" t="s">
        <v>26</v>
      </c>
      <c r="G294" s="10">
        <f>I294*2%</f>
        <v>46000</v>
      </c>
      <c r="H294" s="10">
        <f>71530-G294</f>
        <v>25530</v>
      </c>
      <c r="I294" s="10">
        <v>2300000</v>
      </c>
      <c r="J294" s="34">
        <v>1</v>
      </c>
      <c r="L294" s="11"/>
      <c r="M294" s="11"/>
      <c r="N294" s="124"/>
      <c r="O294" s="125"/>
    </row>
    <row r="295" spans="1:15">
      <c r="A295" s="15" t="s">
        <v>120</v>
      </c>
      <c r="B295" s="25" t="s">
        <v>201</v>
      </c>
      <c r="C295" s="42" t="s">
        <v>242</v>
      </c>
      <c r="D295" s="9">
        <v>41313</v>
      </c>
      <c r="E295" s="12" t="s">
        <v>45</v>
      </c>
      <c r="F295" s="12" t="s">
        <v>32</v>
      </c>
      <c r="G295" s="10">
        <v>491.2</v>
      </c>
      <c r="H295" s="10">
        <v>0</v>
      </c>
      <c r="I295" s="10">
        <v>30700</v>
      </c>
      <c r="J295" s="34">
        <v>1</v>
      </c>
      <c r="L295" s="11"/>
      <c r="M295" s="11"/>
      <c r="N295" s="124"/>
      <c r="O295" s="125"/>
    </row>
    <row r="296" spans="1:15">
      <c r="A296" s="15" t="s">
        <v>124</v>
      </c>
      <c r="B296" s="25" t="s">
        <v>85</v>
      </c>
      <c r="C296" s="39">
        <v>910</v>
      </c>
      <c r="D296" s="9">
        <v>41343</v>
      </c>
      <c r="E296" s="12" t="s">
        <v>45</v>
      </c>
      <c r="F296" s="12" t="s">
        <v>32</v>
      </c>
      <c r="G296" s="10">
        <v>10688.47</v>
      </c>
      <c r="H296" s="10"/>
      <c r="I296" s="10">
        <v>394408.55</v>
      </c>
      <c r="J296" s="62">
        <v>1</v>
      </c>
      <c r="L296" s="11"/>
      <c r="M296" s="11"/>
      <c r="N296" s="124"/>
      <c r="O296" s="125"/>
    </row>
    <row r="297" spans="1:15">
      <c r="A297" s="15" t="s">
        <v>124</v>
      </c>
      <c r="B297" s="25" t="s">
        <v>85</v>
      </c>
      <c r="C297" s="39">
        <v>107</v>
      </c>
      <c r="D297" s="9">
        <v>41343</v>
      </c>
      <c r="E297" s="12" t="s">
        <v>207</v>
      </c>
      <c r="F297" s="12" t="s">
        <v>32</v>
      </c>
      <c r="G297" s="10">
        <v>8962.11</v>
      </c>
      <c r="H297" s="10"/>
      <c r="I297" s="10">
        <v>372800</v>
      </c>
      <c r="J297" s="62">
        <v>1</v>
      </c>
      <c r="L297" s="11"/>
      <c r="M297" s="11"/>
      <c r="N297" s="124"/>
      <c r="O297" s="125"/>
    </row>
    <row r="298" spans="1:15">
      <c r="A298" s="15" t="s">
        <v>120</v>
      </c>
      <c r="B298" s="25" t="s">
        <v>113</v>
      </c>
      <c r="C298" s="39">
        <v>126</v>
      </c>
      <c r="D298" s="12">
        <v>41329</v>
      </c>
      <c r="E298" s="12" t="s">
        <v>207</v>
      </c>
      <c r="F298" s="12" t="s">
        <v>32</v>
      </c>
      <c r="G298" s="10">
        <v>8000</v>
      </c>
      <c r="H298" s="10">
        <v>0</v>
      </c>
      <c r="I298" s="10">
        <v>500000</v>
      </c>
      <c r="J298" s="34">
        <v>1</v>
      </c>
      <c r="L298" s="11"/>
      <c r="M298" s="11"/>
      <c r="N298" s="124"/>
      <c r="O298" s="125"/>
    </row>
    <row r="299" spans="1:15">
      <c r="A299" s="15" t="s">
        <v>120</v>
      </c>
      <c r="B299" s="25" t="s">
        <v>113</v>
      </c>
      <c r="C299" s="39">
        <v>125</v>
      </c>
      <c r="D299" s="12">
        <v>41329</v>
      </c>
      <c r="E299" s="12" t="s">
        <v>207</v>
      </c>
      <c r="F299" s="12" t="s">
        <v>32</v>
      </c>
      <c r="G299" s="10">
        <v>6243.84</v>
      </c>
      <c r="H299" s="10">
        <v>0</v>
      </c>
      <c r="I299" s="10">
        <v>390240</v>
      </c>
      <c r="J299" s="34">
        <v>1</v>
      </c>
      <c r="L299" s="11"/>
      <c r="M299" s="11"/>
      <c r="N299" s="124"/>
      <c r="O299" s="125"/>
    </row>
    <row r="300" spans="1:15">
      <c r="A300" s="15" t="s">
        <v>208</v>
      </c>
      <c r="B300" s="25" t="s">
        <v>226</v>
      </c>
      <c r="C300" s="39">
        <v>175</v>
      </c>
      <c r="D300" s="9">
        <v>41305</v>
      </c>
      <c r="E300" s="12" t="s">
        <v>37</v>
      </c>
      <c r="F300" s="12" t="s">
        <v>32</v>
      </c>
      <c r="G300" s="10">
        <v>5166.3999999999996</v>
      </c>
      <c r="H300" s="10">
        <v>1317.43</v>
      </c>
      <c r="I300" s="10">
        <v>258320</v>
      </c>
      <c r="J300" s="34">
        <v>1</v>
      </c>
      <c r="L300" s="11"/>
      <c r="M300" s="11"/>
      <c r="N300" s="124"/>
      <c r="O300" s="125"/>
    </row>
    <row r="301" spans="1:15">
      <c r="A301" s="15" t="s">
        <v>57</v>
      </c>
      <c r="B301" s="25" t="s">
        <v>88</v>
      </c>
      <c r="C301" s="39">
        <v>133</v>
      </c>
      <c r="D301" s="12">
        <v>41306</v>
      </c>
      <c r="E301" s="12" t="s">
        <v>37</v>
      </c>
      <c r="F301" s="12" t="s">
        <v>32</v>
      </c>
      <c r="G301" s="10">
        <v>4840</v>
      </c>
      <c r="H301" s="10">
        <v>0</v>
      </c>
      <c r="I301" s="10">
        <v>242000</v>
      </c>
      <c r="J301" s="34">
        <v>1</v>
      </c>
      <c r="L301" s="123" t="str">
        <f>E302</f>
        <v>FARIA</v>
      </c>
      <c r="M301" s="123" t="s">
        <v>27</v>
      </c>
      <c r="N301" s="124">
        <f>SUM(I302:I303)</f>
        <v>1330000</v>
      </c>
      <c r="O301" s="125">
        <f>SUM(J302:J303)</f>
        <v>2</v>
      </c>
    </row>
    <row r="302" spans="1:15">
      <c r="A302" s="15" t="s">
        <v>111</v>
      </c>
      <c r="B302" s="25" t="s">
        <v>227</v>
      </c>
      <c r="C302" s="39">
        <v>134</v>
      </c>
      <c r="D302" s="9">
        <v>41312</v>
      </c>
      <c r="E302" s="12" t="s">
        <v>40</v>
      </c>
      <c r="F302" s="12" t="s">
        <v>32</v>
      </c>
      <c r="G302" s="10">
        <v>13400</v>
      </c>
      <c r="H302" s="10">
        <v>0</v>
      </c>
      <c r="I302" s="10">
        <v>670000</v>
      </c>
      <c r="J302" s="34">
        <v>1</v>
      </c>
      <c r="L302" s="11"/>
      <c r="M302" s="11"/>
      <c r="N302" s="124"/>
      <c r="O302" s="125"/>
    </row>
    <row r="303" spans="1:15">
      <c r="A303" s="15" t="s">
        <v>54</v>
      </c>
      <c r="B303" s="25" t="s">
        <v>227</v>
      </c>
      <c r="C303" s="42">
        <v>113</v>
      </c>
      <c r="D303" s="9">
        <v>41334</v>
      </c>
      <c r="E303" s="12" t="s">
        <v>40</v>
      </c>
      <c r="F303" s="12" t="s">
        <v>32</v>
      </c>
      <c r="G303" s="10">
        <f>I303*2%</f>
        <v>13200</v>
      </c>
      <c r="H303" s="10"/>
      <c r="I303" s="10">
        <v>660000</v>
      </c>
      <c r="J303" s="34">
        <v>1</v>
      </c>
      <c r="L303" s="11" t="str">
        <f>E304</f>
        <v>MAURICIO</v>
      </c>
      <c r="M303" s="11" t="s">
        <v>26</v>
      </c>
      <c r="N303" s="124">
        <f>I304</f>
        <v>606000</v>
      </c>
      <c r="O303" s="125">
        <f>J304</f>
        <v>1</v>
      </c>
    </row>
    <row r="304" spans="1:15">
      <c r="A304" s="15" t="s">
        <v>120</v>
      </c>
      <c r="B304" s="25" t="s">
        <v>113</v>
      </c>
      <c r="C304" s="39">
        <v>73</v>
      </c>
      <c r="D304" s="9">
        <v>41313</v>
      </c>
      <c r="E304" s="12" t="s">
        <v>43</v>
      </c>
      <c r="F304" s="12" t="s">
        <v>32</v>
      </c>
      <c r="G304" s="10">
        <v>9696</v>
      </c>
      <c r="H304" s="10">
        <v>0</v>
      </c>
      <c r="I304" s="10">
        <v>606000</v>
      </c>
      <c r="J304" s="34">
        <v>1</v>
      </c>
      <c r="L304" s="123" t="str">
        <f>E305</f>
        <v>MAURICIO</v>
      </c>
      <c r="M304" s="123" t="s">
        <v>26</v>
      </c>
      <c r="N304" s="124">
        <f>SUM(I305:I307)</f>
        <v>729691</v>
      </c>
      <c r="O304" s="125">
        <f>SUM(J305:J307)</f>
        <v>2.5</v>
      </c>
    </row>
    <row r="305" spans="1:15">
      <c r="A305" s="15" t="s">
        <v>120</v>
      </c>
      <c r="B305" s="25" t="s">
        <v>201</v>
      </c>
      <c r="C305" s="42" t="s">
        <v>243</v>
      </c>
      <c r="D305" s="9">
        <v>41333</v>
      </c>
      <c r="E305" s="12" t="s">
        <v>43</v>
      </c>
      <c r="F305" s="12" t="s">
        <v>32</v>
      </c>
      <c r="G305" s="10">
        <v>510.26</v>
      </c>
      <c r="H305" s="10">
        <v>0</v>
      </c>
      <c r="I305" s="10">
        <v>31891</v>
      </c>
      <c r="J305" s="34">
        <v>1</v>
      </c>
      <c r="L305" s="11"/>
      <c r="M305" s="11"/>
      <c r="N305" s="124"/>
      <c r="O305" s="125"/>
    </row>
    <row r="306" spans="1:15">
      <c r="A306" s="15" t="s">
        <v>120</v>
      </c>
      <c r="B306" s="25" t="s">
        <v>85</v>
      </c>
      <c r="C306" s="42">
        <v>35</v>
      </c>
      <c r="D306" s="9">
        <v>41333</v>
      </c>
      <c r="E306" s="12" t="s">
        <v>43</v>
      </c>
      <c r="F306" s="12" t="s">
        <v>32</v>
      </c>
      <c r="G306" s="10">
        <f>I306*1.6%</f>
        <v>7571.2</v>
      </c>
      <c r="H306" s="10">
        <f>7571.2-G306</f>
        <v>0</v>
      </c>
      <c r="I306" s="10">
        <v>473200</v>
      </c>
      <c r="J306" s="34">
        <v>1</v>
      </c>
      <c r="L306" s="11"/>
      <c r="M306" s="11"/>
      <c r="N306" s="124"/>
      <c r="O306" s="125"/>
    </row>
    <row r="307" spans="1:15">
      <c r="A307" s="15" t="s">
        <v>124</v>
      </c>
      <c r="B307" s="25" t="s">
        <v>85</v>
      </c>
      <c r="C307" s="39">
        <v>905</v>
      </c>
      <c r="D307" s="9">
        <v>41343</v>
      </c>
      <c r="E307" s="12" t="s">
        <v>197</v>
      </c>
      <c r="F307" s="12" t="s">
        <v>32</v>
      </c>
      <c r="G307" s="10">
        <v>6086.66</v>
      </c>
      <c r="H307" s="10"/>
      <c r="I307" s="10">
        <v>224600</v>
      </c>
      <c r="J307" s="62">
        <v>0.5</v>
      </c>
      <c r="L307" s="123" t="str">
        <f>E308</f>
        <v>TONY</v>
      </c>
      <c r="M307" s="123" t="s">
        <v>79</v>
      </c>
      <c r="N307" s="124">
        <f>SUM(I308:I309)</f>
        <v>890200</v>
      </c>
      <c r="O307" s="125">
        <f>SUM(J308:J309)</f>
        <v>2</v>
      </c>
    </row>
    <row r="308" spans="1:15">
      <c r="A308" s="15" t="s">
        <v>120</v>
      </c>
      <c r="B308" s="25" t="s">
        <v>113</v>
      </c>
      <c r="C308" s="39">
        <v>23</v>
      </c>
      <c r="D308" s="9">
        <v>41313</v>
      </c>
      <c r="E308" s="12" t="s">
        <v>44</v>
      </c>
      <c r="F308" s="12" t="s">
        <v>32</v>
      </c>
      <c r="G308" s="10">
        <v>10176</v>
      </c>
      <c r="H308" s="10">
        <v>0</v>
      </c>
      <c r="I308" s="10">
        <v>636000</v>
      </c>
      <c r="J308" s="34">
        <v>1</v>
      </c>
      <c r="L308" s="11"/>
      <c r="M308" s="11"/>
      <c r="N308" s="124"/>
      <c r="O308" s="125"/>
    </row>
    <row r="309" spans="1:15">
      <c r="A309" s="15" t="s">
        <v>208</v>
      </c>
      <c r="B309" s="25" t="s">
        <v>88</v>
      </c>
      <c r="C309" s="42">
        <v>198</v>
      </c>
      <c r="D309" s="9">
        <v>41383</v>
      </c>
      <c r="E309" s="12" t="s">
        <v>212</v>
      </c>
      <c r="F309" s="12" t="s">
        <v>23</v>
      </c>
      <c r="G309" s="10">
        <v>8134.4</v>
      </c>
      <c r="H309" s="10"/>
      <c r="I309" s="10">
        <v>254200</v>
      </c>
      <c r="J309" s="62">
        <v>1</v>
      </c>
      <c r="L309" s="123" t="str">
        <f>E310</f>
        <v>AMARILIS</v>
      </c>
      <c r="M309" s="123" t="s">
        <v>26</v>
      </c>
      <c r="N309" s="124">
        <f>SUM(I310:I318)</f>
        <v>3421988.36</v>
      </c>
      <c r="O309" s="125">
        <f>SUM(J310:J318)</f>
        <v>8.5</v>
      </c>
    </row>
    <row r="310" spans="1:15">
      <c r="A310" s="15" t="s">
        <v>145</v>
      </c>
      <c r="B310" s="25" t="s">
        <v>85</v>
      </c>
      <c r="C310" s="42">
        <v>1214</v>
      </c>
      <c r="D310" s="9">
        <v>41414</v>
      </c>
      <c r="E310" s="12" t="s">
        <v>121</v>
      </c>
      <c r="F310" s="12" t="s">
        <v>23</v>
      </c>
      <c r="G310" s="10">
        <v>0</v>
      </c>
      <c r="H310" s="10">
        <v>0</v>
      </c>
      <c r="I310" s="10">
        <v>320425</v>
      </c>
      <c r="J310" s="62">
        <v>1</v>
      </c>
      <c r="L310" s="11"/>
      <c r="M310" s="11"/>
      <c r="N310" s="124"/>
      <c r="O310" s="125"/>
    </row>
    <row r="311" spans="1:15">
      <c r="A311" s="15" t="s">
        <v>120</v>
      </c>
      <c r="B311" s="25" t="s">
        <v>113</v>
      </c>
      <c r="C311" s="39">
        <v>132</v>
      </c>
      <c r="D311" s="12">
        <v>41329</v>
      </c>
      <c r="E311" s="12" t="s">
        <v>49</v>
      </c>
      <c r="F311" s="12" t="s">
        <v>23</v>
      </c>
      <c r="G311" s="10">
        <f>I311*0.8%</f>
        <v>2646.5345600000001</v>
      </c>
      <c r="H311" s="10">
        <f>8965.14-G311</f>
        <v>6318.6054399999994</v>
      </c>
      <c r="I311" s="10">
        <v>330816.82</v>
      </c>
      <c r="J311" s="34">
        <v>0.5</v>
      </c>
      <c r="L311" s="11"/>
      <c r="M311" s="11"/>
      <c r="N311" s="124"/>
      <c r="O311" s="125"/>
    </row>
    <row r="312" spans="1:15">
      <c r="A312" s="15" t="s">
        <v>124</v>
      </c>
      <c r="B312" s="25" t="s">
        <v>85</v>
      </c>
      <c r="C312" s="39">
        <v>1101</v>
      </c>
      <c r="D312" s="9">
        <v>41343</v>
      </c>
      <c r="E312" s="12" t="s">
        <v>49</v>
      </c>
      <c r="F312" s="12" t="s">
        <v>23</v>
      </c>
      <c r="G312" s="10">
        <v>12412.08</v>
      </c>
      <c r="H312" s="10"/>
      <c r="I312" s="10">
        <v>458010.29</v>
      </c>
      <c r="J312" s="62">
        <v>1</v>
      </c>
      <c r="L312" s="11"/>
      <c r="M312" s="11"/>
      <c r="N312" s="124"/>
      <c r="O312" s="125"/>
    </row>
    <row r="313" spans="1:15">
      <c r="A313" s="15" t="s">
        <v>124</v>
      </c>
      <c r="B313" s="25" t="s">
        <v>85</v>
      </c>
      <c r="C313" s="39">
        <v>1112</v>
      </c>
      <c r="D313" s="9">
        <v>41343</v>
      </c>
      <c r="E313" s="12" t="s">
        <v>49</v>
      </c>
      <c r="F313" s="12" t="s">
        <v>23</v>
      </c>
      <c r="G313" s="10">
        <v>12412.08</v>
      </c>
      <c r="H313" s="10"/>
      <c r="I313" s="10">
        <v>458010.29</v>
      </c>
      <c r="J313" s="62">
        <v>1</v>
      </c>
      <c r="L313" s="11"/>
      <c r="M313" s="11"/>
      <c r="N313" s="124"/>
      <c r="O313" s="125"/>
    </row>
    <row r="314" spans="1:15">
      <c r="A314" s="15" t="s">
        <v>145</v>
      </c>
      <c r="B314" s="25" t="s">
        <v>85</v>
      </c>
      <c r="C314" s="39">
        <v>301</v>
      </c>
      <c r="D314" s="9">
        <v>41414</v>
      </c>
      <c r="E314" s="12" t="s">
        <v>49</v>
      </c>
      <c r="F314" s="12" t="s">
        <v>23</v>
      </c>
      <c r="G314" s="10">
        <v>5743.28</v>
      </c>
      <c r="H314" s="10">
        <v>3984.4</v>
      </c>
      <c r="I314" s="10">
        <v>358955.19</v>
      </c>
      <c r="J314" s="34">
        <v>1</v>
      </c>
      <c r="L314" s="11"/>
      <c r="M314" s="11"/>
      <c r="N314" s="124"/>
      <c r="O314" s="125"/>
    </row>
    <row r="315" spans="1:15">
      <c r="A315" s="15" t="s">
        <v>145</v>
      </c>
      <c r="B315" s="25" t="s">
        <v>85</v>
      </c>
      <c r="C315" s="39">
        <v>302</v>
      </c>
      <c r="D315" s="9">
        <v>41414</v>
      </c>
      <c r="E315" s="12" t="s">
        <v>49</v>
      </c>
      <c r="F315" s="12" t="s">
        <v>23</v>
      </c>
      <c r="G315" s="10">
        <v>5615.2</v>
      </c>
      <c r="H315" s="10">
        <v>3895.55</v>
      </c>
      <c r="I315" s="10">
        <v>350950.07</v>
      </c>
      <c r="J315" s="34">
        <v>1</v>
      </c>
      <c r="L315" s="11"/>
      <c r="M315" s="11"/>
      <c r="N315" s="124"/>
      <c r="O315" s="125"/>
    </row>
    <row r="316" spans="1:15">
      <c r="A316" s="15" t="s">
        <v>145</v>
      </c>
      <c r="B316" s="25" t="s">
        <v>85</v>
      </c>
      <c r="C316" s="39">
        <v>303</v>
      </c>
      <c r="D316" s="9">
        <v>41414</v>
      </c>
      <c r="E316" s="12" t="s">
        <v>49</v>
      </c>
      <c r="F316" s="12" t="s">
        <v>23</v>
      </c>
      <c r="G316" s="10">
        <v>5615.2</v>
      </c>
      <c r="H316" s="10">
        <v>3895.55</v>
      </c>
      <c r="I316" s="10">
        <v>350950.07</v>
      </c>
      <c r="J316" s="34">
        <v>1</v>
      </c>
      <c r="L316" s="11"/>
      <c r="M316" s="11"/>
      <c r="N316" s="124"/>
      <c r="O316" s="125"/>
    </row>
    <row r="317" spans="1:15">
      <c r="A317" s="15" t="s">
        <v>145</v>
      </c>
      <c r="B317" s="25" t="s">
        <v>85</v>
      </c>
      <c r="C317" s="39">
        <v>2402</v>
      </c>
      <c r="D317" s="9">
        <v>41413</v>
      </c>
      <c r="E317" s="12" t="s">
        <v>49</v>
      </c>
      <c r="F317" s="12" t="s">
        <v>23</v>
      </c>
      <c r="G317" s="10">
        <v>6152.49</v>
      </c>
      <c r="H317" s="10">
        <v>4268.29</v>
      </c>
      <c r="I317" s="10">
        <v>384530.4</v>
      </c>
      <c r="J317" s="34">
        <v>1</v>
      </c>
      <c r="L317" s="11"/>
      <c r="M317" s="11"/>
      <c r="N317" s="124"/>
      <c r="O317" s="125"/>
    </row>
    <row r="318" spans="1:15">
      <c r="A318" s="15" t="s">
        <v>145</v>
      </c>
      <c r="B318" s="25" t="s">
        <v>82</v>
      </c>
      <c r="C318" s="39">
        <v>2107</v>
      </c>
      <c r="D318" s="9">
        <v>41449</v>
      </c>
      <c r="E318" s="12" t="s">
        <v>49</v>
      </c>
      <c r="F318" s="12" t="s">
        <v>23</v>
      </c>
      <c r="G318" s="10">
        <v>6549.44</v>
      </c>
      <c r="H318" s="10">
        <v>4543.68</v>
      </c>
      <c r="I318" s="10">
        <v>409340.23</v>
      </c>
      <c r="J318" s="62">
        <v>1</v>
      </c>
      <c r="L318" s="123" t="str">
        <f>E319</f>
        <v>CLAUDIA</v>
      </c>
      <c r="M318" s="123" t="s">
        <v>24</v>
      </c>
      <c r="N318" s="124">
        <f>SUM(I319:I321)</f>
        <v>1183239.07</v>
      </c>
      <c r="O318" s="125">
        <f>SUM(J319:J321)</f>
        <v>3</v>
      </c>
    </row>
    <row r="319" spans="1:15">
      <c r="A319" s="15" t="s">
        <v>145</v>
      </c>
      <c r="B319" s="25" t="s">
        <v>82</v>
      </c>
      <c r="C319" s="39">
        <v>1907</v>
      </c>
      <c r="D319" s="9">
        <v>41449</v>
      </c>
      <c r="E319" s="12" t="s">
        <v>49</v>
      </c>
      <c r="F319" s="12" t="s">
        <v>23</v>
      </c>
      <c r="G319" s="10">
        <v>6476.13</v>
      </c>
      <c r="H319" s="10">
        <v>4492.82</v>
      </c>
      <c r="I319" s="10">
        <v>404758.25</v>
      </c>
      <c r="J319" s="62">
        <v>1</v>
      </c>
      <c r="L319" s="11"/>
      <c r="M319" s="11"/>
      <c r="N319" s="124"/>
      <c r="O319" s="125"/>
    </row>
    <row r="320" spans="1:15">
      <c r="A320" s="15" t="s">
        <v>124</v>
      </c>
      <c r="B320" s="25" t="s">
        <v>85</v>
      </c>
      <c r="C320" s="39">
        <v>303</v>
      </c>
      <c r="D320" s="9">
        <v>41343</v>
      </c>
      <c r="E320" s="12" t="s">
        <v>80</v>
      </c>
      <c r="F320" s="12" t="s">
        <v>23</v>
      </c>
      <c r="G320" s="10">
        <v>11488.67</v>
      </c>
      <c r="H320" s="10"/>
      <c r="I320" s="10">
        <v>423936.14</v>
      </c>
      <c r="J320" s="62">
        <v>1</v>
      </c>
      <c r="L320" s="11"/>
      <c r="M320" s="11"/>
      <c r="N320" s="124"/>
      <c r="O320" s="125"/>
    </row>
    <row r="321" spans="1:15">
      <c r="A321" s="15" t="s">
        <v>124</v>
      </c>
      <c r="B321" s="25" t="s">
        <v>85</v>
      </c>
      <c r="C321" s="39">
        <v>304</v>
      </c>
      <c r="D321" s="9">
        <v>41343</v>
      </c>
      <c r="E321" s="12" t="s">
        <v>80</v>
      </c>
      <c r="F321" s="12" t="s">
        <v>23</v>
      </c>
      <c r="G321" s="10">
        <v>9608.16</v>
      </c>
      <c r="H321" s="10"/>
      <c r="I321" s="10">
        <v>354544.68</v>
      </c>
      <c r="J321" s="62">
        <v>1</v>
      </c>
      <c r="L321" s="123" t="str">
        <f>E322</f>
        <v>EVITA</v>
      </c>
      <c r="M321" s="123" t="s">
        <v>61</v>
      </c>
      <c r="N321" s="124">
        <f>SUM(I322:I326)</f>
        <v>1364651.69</v>
      </c>
      <c r="O321" s="125">
        <f>SUM(J322:J326)</f>
        <v>3.5</v>
      </c>
    </row>
    <row r="322" spans="1:15">
      <c r="A322" s="15" t="s">
        <v>124</v>
      </c>
      <c r="B322" s="25" t="s">
        <v>85</v>
      </c>
      <c r="C322" s="39">
        <v>605</v>
      </c>
      <c r="D322" s="9">
        <v>41343</v>
      </c>
      <c r="E322" s="12" t="s">
        <v>80</v>
      </c>
      <c r="F322" s="12" t="s">
        <v>23</v>
      </c>
      <c r="G322" s="10">
        <v>11146.75</v>
      </c>
      <c r="H322" s="10"/>
      <c r="I322" s="10">
        <v>411319.35</v>
      </c>
      <c r="J322" s="62">
        <v>1</v>
      </c>
      <c r="L322" s="11"/>
      <c r="M322" s="11"/>
      <c r="N322" s="124"/>
      <c r="O322" s="125"/>
    </row>
    <row r="323" spans="1:15">
      <c r="A323" s="15" t="s">
        <v>145</v>
      </c>
      <c r="B323" s="25" t="s">
        <v>85</v>
      </c>
      <c r="C323" s="39">
        <v>514</v>
      </c>
      <c r="D323" s="9">
        <v>41406</v>
      </c>
      <c r="E323" s="12" t="s">
        <v>80</v>
      </c>
      <c r="F323" s="12" t="s">
        <v>23</v>
      </c>
      <c r="G323" s="10">
        <v>5795.67</v>
      </c>
      <c r="H323" s="10">
        <v>4020.75</v>
      </c>
      <c r="I323" s="10">
        <v>362229.56</v>
      </c>
      <c r="J323" s="62">
        <v>1</v>
      </c>
      <c r="L323" s="11"/>
      <c r="M323" s="11"/>
      <c r="N323" s="124"/>
      <c r="O323" s="125"/>
    </row>
    <row r="324" spans="1:15">
      <c r="A324" s="15" t="s">
        <v>145</v>
      </c>
      <c r="B324" s="25" t="s">
        <v>85</v>
      </c>
      <c r="C324" s="39">
        <v>1810</v>
      </c>
      <c r="D324" s="9">
        <v>41411</v>
      </c>
      <c r="E324" s="12" t="s">
        <v>80</v>
      </c>
      <c r="F324" s="12" t="s">
        <v>23</v>
      </c>
      <c r="G324" s="10">
        <v>3123.8</v>
      </c>
      <c r="H324" s="10">
        <v>2167.13</v>
      </c>
      <c r="I324" s="10">
        <v>195237.34</v>
      </c>
      <c r="J324" s="62">
        <v>0.5</v>
      </c>
      <c r="L324" s="11"/>
      <c r="M324" s="11"/>
      <c r="N324" s="124"/>
      <c r="O324" s="125"/>
    </row>
    <row r="325" spans="1:15">
      <c r="A325" s="15" t="s">
        <v>145</v>
      </c>
      <c r="B325" s="25" t="s">
        <v>85</v>
      </c>
      <c r="C325" s="39">
        <v>2310</v>
      </c>
      <c r="D325" s="12">
        <v>41411</v>
      </c>
      <c r="E325" s="12" t="s">
        <v>80</v>
      </c>
      <c r="F325" s="12" t="s">
        <v>23</v>
      </c>
      <c r="G325" s="10">
        <v>3166.93</v>
      </c>
      <c r="H325" s="10">
        <v>2197.06</v>
      </c>
      <c r="I325" s="10">
        <v>197932.72</v>
      </c>
      <c r="J325" s="34">
        <v>0.5</v>
      </c>
      <c r="L325" s="11"/>
      <c r="M325" s="11"/>
      <c r="N325" s="124"/>
      <c r="O325" s="125"/>
    </row>
    <row r="326" spans="1:15">
      <c r="A326" s="15" t="s">
        <v>145</v>
      </c>
      <c r="B326" s="25" t="s">
        <v>85</v>
      </c>
      <c r="C326" s="39">
        <v>2311</v>
      </c>
      <c r="D326" s="12">
        <v>41411</v>
      </c>
      <c r="E326" s="12" t="s">
        <v>80</v>
      </c>
      <c r="F326" s="12" t="s">
        <v>23</v>
      </c>
      <c r="G326" s="10">
        <v>3166.93</v>
      </c>
      <c r="H326" s="10">
        <v>2197.06</v>
      </c>
      <c r="I326" s="10">
        <v>197932.72</v>
      </c>
      <c r="J326" s="34">
        <v>0.5</v>
      </c>
      <c r="L326" s="123" t="str">
        <f>E327</f>
        <v>FERNANDA</v>
      </c>
      <c r="M326" s="123" t="s">
        <v>26</v>
      </c>
      <c r="N326" s="124">
        <f>I327</f>
        <v>145000</v>
      </c>
      <c r="O326" s="125">
        <f>J327</f>
        <v>0.5</v>
      </c>
    </row>
    <row r="327" spans="1:15">
      <c r="A327" s="15" t="s">
        <v>145</v>
      </c>
      <c r="B327" s="25" t="s">
        <v>85</v>
      </c>
      <c r="C327" s="42">
        <v>311</v>
      </c>
      <c r="D327" s="9">
        <v>41417</v>
      </c>
      <c r="E327" s="12" t="s">
        <v>193</v>
      </c>
      <c r="F327" s="12" t="s">
        <v>23</v>
      </c>
      <c r="G327" s="10">
        <v>3199.8</v>
      </c>
      <c r="H327" s="10">
        <v>2219.86</v>
      </c>
      <c r="I327" s="10">
        <v>145000</v>
      </c>
      <c r="J327" s="62">
        <v>0.5</v>
      </c>
      <c r="L327" s="123" t="str">
        <f>E328</f>
        <v>FLAVIO</v>
      </c>
      <c r="M327" s="123" t="s">
        <v>24</v>
      </c>
      <c r="N327" s="124">
        <f>SUM(I328:I329)</f>
        <v>523977.35</v>
      </c>
      <c r="O327" s="125">
        <f>SUM(J328:J329)</f>
        <v>2</v>
      </c>
    </row>
    <row r="328" spans="1:15">
      <c r="A328" s="15" t="s">
        <v>270</v>
      </c>
      <c r="B328" s="25" t="s">
        <v>271</v>
      </c>
      <c r="C328" s="39">
        <v>7</v>
      </c>
      <c r="D328" s="9">
        <v>41451</v>
      </c>
      <c r="E328" s="12" t="s">
        <v>292</v>
      </c>
      <c r="F328" s="12" t="s">
        <v>23</v>
      </c>
      <c r="G328" s="10">
        <v>7902.46</v>
      </c>
      <c r="H328" s="10">
        <v>4000.62</v>
      </c>
      <c r="I328" s="10">
        <v>493903.91</v>
      </c>
      <c r="J328" s="62">
        <v>1</v>
      </c>
      <c r="L328" s="11"/>
      <c r="M328" s="11"/>
      <c r="N328" s="124"/>
      <c r="O328" s="125"/>
    </row>
    <row r="329" spans="1:15">
      <c r="A329" s="15" t="s">
        <v>270</v>
      </c>
      <c r="B329" s="25" t="s">
        <v>201</v>
      </c>
      <c r="C329" s="42" t="s">
        <v>293</v>
      </c>
      <c r="D329" s="9">
        <v>41451</v>
      </c>
      <c r="E329" s="12" t="s">
        <v>292</v>
      </c>
      <c r="F329" s="12" t="s">
        <v>23</v>
      </c>
      <c r="G329" s="10">
        <v>481.18</v>
      </c>
      <c r="H329" s="10">
        <v>0</v>
      </c>
      <c r="I329" s="10">
        <v>30073.439999999999</v>
      </c>
      <c r="J329" s="62">
        <v>1</v>
      </c>
      <c r="L329" s="123" t="str">
        <f>E330</f>
        <v>FLAVIO</v>
      </c>
      <c r="M329" s="123" t="s">
        <v>23</v>
      </c>
      <c r="N329" s="124">
        <f>SUM(I330:I341)</f>
        <v>3392037.64</v>
      </c>
      <c r="O329" s="125">
        <f>SUM(J330:J341)</f>
        <v>7</v>
      </c>
    </row>
    <row r="330" spans="1:15">
      <c r="A330" s="15" t="s">
        <v>270</v>
      </c>
      <c r="B330" s="25" t="s">
        <v>201</v>
      </c>
      <c r="C330" s="42" t="s">
        <v>294</v>
      </c>
      <c r="D330" s="9">
        <v>41451</v>
      </c>
      <c r="E330" s="12" t="s">
        <v>292</v>
      </c>
      <c r="F330" s="12" t="s">
        <v>23</v>
      </c>
      <c r="G330" s="10">
        <v>216.94</v>
      </c>
      <c r="H330" s="10">
        <v>0</v>
      </c>
      <c r="I330" s="10">
        <v>13558.87</v>
      </c>
      <c r="J330" s="62">
        <v>0.5</v>
      </c>
      <c r="L330" s="11"/>
      <c r="M330" s="11"/>
      <c r="N330" s="124"/>
      <c r="O330" s="125"/>
    </row>
    <row r="331" spans="1:15">
      <c r="A331" s="15" t="s">
        <v>270</v>
      </c>
      <c r="B331" s="25" t="s">
        <v>273</v>
      </c>
      <c r="C331" s="39">
        <v>37</v>
      </c>
      <c r="D331" s="9">
        <v>41451</v>
      </c>
      <c r="E331" s="12" t="s">
        <v>292</v>
      </c>
      <c r="F331" s="12" t="s">
        <v>23</v>
      </c>
      <c r="G331" s="10">
        <v>3716.23</v>
      </c>
      <c r="H331" s="10">
        <v>1881.34</v>
      </c>
      <c r="I331" s="10">
        <v>232264.44</v>
      </c>
      <c r="J331" s="62">
        <v>0.5</v>
      </c>
      <c r="L331" s="11"/>
      <c r="M331" s="11"/>
      <c r="N331" s="124"/>
      <c r="O331" s="125"/>
    </row>
    <row r="332" spans="1:15">
      <c r="A332" s="15" t="s">
        <v>270</v>
      </c>
      <c r="B332" s="25" t="s">
        <v>271</v>
      </c>
      <c r="C332" s="39">
        <v>34</v>
      </c>
      <c r="D332" s="9">
        <v>41455</v>
      </c>
      <c r="E332" s="12" t="s">
        <v>292</v>
      </c>
      <c r="F332" s="12" t="s">
        <v>23</v>
      </c>
      <c r="G332" s="10">
        <v>3166.44</v>
      </c>
      <c r="H332" s="10">
        <v>1603.01</v>
      </c>
      <c r="I332" s="10">
        <v>197902.58</v>
      </c>
      <c r="J332" s="62">
        <v>0.5</v>
      </c>
      <c r="L332" s="11"/>
      <c r="M332" s="11"/>
      <c r="N332" s="124"/>
      <c r="O332" s="125"/>
    </row>
    <row r="333" spans="1:15">
      <c r="A333" s="15" t="s">
        <v>53</v>
      </c>
      <c r="B333" s="25" t="s">
        <v>113</v>
      </c>
      <c r="C333" s="39">
        <v>72</v>
      </c>
      <c r="D333" s="12">
        <v>41303</v>
      </c>
      <c r="E333" s="12" t="s">
        <v>296</v>
      </c>
      <c r="F333" s="12" t="s">
        <v>23</v>
      </c>
      <c r="G333" s="10">
        <v>9792</v>
      </c>
      <c r="H333" s="10">
        <v>0</v>
      </c>
      <c r="I333" s="10">
        <v>612000</v>
      </c>
      <c r="J333" s="34">
        <v>1</v>
      </c>
      <c r="L333" s="11"/>
      <c r="M333" s="11"/>
      <c r="N333" s="124"/>
      <c r="O333" s="125"/>
    </row>
    <row r="334" spans="1:15">
      <c r="A334" s="15" t="s">
        <v>270</v>
      </c>
      <c r="B334" s="25" t="s">
        <v>271</v>
      </c>
      <c r="C334" s="39">
        <v>34</v>
      </c>
      <c r="D334" s="9">
        <v>41455</v>
      </c>
      <c r="E334" s="12" t="s">
        <v>296</v>
      </c>
      <c r="F334" s="12" t="s">
        <v>23</v>
      </c>
      <c r="G334" s="10">
        <v>3166.44</v>
      </c>
      <c r="H334" s="10">
        <v>1603.01</v>
      </c>
      <c r="I334" s="10">
        <v>197902.58</v>
      </c>
      <c r="J334" s="62">
        <v>0.5</v>
      </c>
      <c r="L334" s="11"/>
      <c r="M334" s="11"/>
      <c r="N334" s="124"/>
      <c r="O334" s="125"/>
    </row>
    <row r="335" spans="1:15">
      <c r="A335" s="15" t="s">
        <v>145</v>
      </c>
      <c r="B335" s="25" t="s">
        <v>85</v>
      </c>
      <c r="C335" s="39">
        <v>2310</v>
      </c>
      <c r="D335" s="12">
        <v>41411</v>
      </c>
      <c r="E335" s="12" t="s">
        <v>296</v>
      </c>
      <c r="F335" s="12" t="s">
        <v>23</v>
      </c>
      <c r="G335" s="10">
        <v>3166.93</v>
      </c>
      <c r="H335" s="10">
        <v>2197.06</v>
      </c>
      <c r="I335" s="10">
        <v>197932.72</v>
      </c>
      <c r="J335" s="34">
        <v>0.5</v>
      </c>
      <c r="L335" s="11"/>
      <c r="M335" s="11"/>
      <c r="N335" s="124"/>
      <c r="O335" s="125"/>
    </row>
    <row r="336" spans="1:15">
      <c r="A336" s="15" t="s">
        <v>145</v>
      </c>
      <c r="B336" s="25" t="s">
        <v>85</v>
      </c>
      <c r="C336" s="39">
        <v>2311</v>
      </c>
      <c r="D336" s="12">
        <v>41411</v>
      </c>
      <c r="E336" s="12" t="s">
        <v>296</v>
      </c>
      <c r="F336" s="12" t="s">
        <v>23</v>
      </c>
      <c r="G336" s="10">
        <v>3166.93</v>
      </c>
      <c r="H336" s="10">
        <v>2197.06</v>
      </c>
      <c r="I336" s="10">
        <v>197932.72</v>
      </c>
      <c r="J336" s="34">
        <v>0.5</v>
      </c>
      <c r="L336" s="11"/>
      <c r="M336" s="11"/>
      <c r="N336" s="124"/>
      <c r="O336" s="125"/>
    </row>
    <row r="337" spans="1:15">
      <c r="A337" s="15" t="s">
        <v>145</v>
      </c>
      <c r="B337" s="25" t="s">
        <v>85</v>
      </c>
      <c r="C337" s="39">
        <v>2316</v>
      </c>
      <c r="D337" s="9">
        <v>41408</v>
      </c>
      <c r="E337" s="12" t="s">
        <v>296</v>
      </c>
      <c r="F337" s="12" t="s">
        <v>23</v>
      </c>
      <c r="G337" s="10">
        <v>3108.9</v>
      </c>
      <c r="H337" s="10">
        <v>2156.8000000000002</v>
      </c>
      <c r="I337" s="10">
        <v>194306.47</v>
      </c>
      <c r="J337" s="34">
        <v>0.5</v>
      </c>
      <c r="L337" s="11"/>
      <c r="M337" s="11"/>
      <c r="N337" s="124"/>
      <c r="O337" s="125"/>
    </row>
    <row r="338" spans="1:15">
      <c r="A338" s="15" t="s">
        <v>53</v>
      </c>
      <c r="B338" s="25" t="s">
        <v>113</v>
      </c>
      <c r="C338" s="42">
        <v>177</v>
      </c>
      <c r="D338" s="9">
        <v>41281</v>
      </c>
      <c r="E338" s="12" t="s">
        <v>21</v>
      </c>
      <c r="F338" s="12" t="s">
        <v>23</v>
      </c>
      <c r="G338" s="10">
        <v>7248</v>
      </c>
      <c r="H338" s="10">
        <f>12276.3-G338</f>
        <v>5028.2999999999993</v>
      </c>
      <c r="I338" s="10">
        <v>453000.06</v>
      </c>
      <c r="J338" s="34">
        <v>0.5</v>
      </c>
      <c r="L338" s="11"/>
      <c r="M338" s="11"/>
      <c r="N338" s="124"/>
      <c r="O338" s="125"/>
    </row>
    <row r="339" spans="1:15">
      <c r="A339" s="102" t="s">
        <v>186</v>
      </c>
      <c r="B339" s="25" t="s">
        <v>85</v>
      </c>
      <c r="C339" s="39">
        <v>702</v>
      </c>
      <c r="D339" s="12">
        <v>41340</v>
      </c>
      <c r="E339" s="12" t="s">
        <v>306</v>
      </c>
      <c r="F339" s="12" t="s">
        <v>23</v>
      </c>
      <c r="G339" s="10">
        <v>5830.87</v>
      </c>
      <c r="H339" s="10">
        <v>0</v>
      </c>
      <c r="I339" s="10">
        <v>224264.27</v>
      </c>
      <c r="J339" s="34">
        <v>0.5</v>
      </c>
      <c r="L339" s="11"/>
      <c r="M339" s="11"/>
      <c r="N339" s="124"/>
      <c r="O339" s="125"/>
    </row>
    <row r="340" spans="1:15">
      <c r="A340" s="102" t="s">
        <v>186</v>
      </c>
      <c r="B340" s="25" t="s">
        <v>85</v>
      </c>
      <c r="C340" s="39">
        <v>703</v>
      </c>
      <c r="D340" s="12">
        <v>41340</v>
      </c>
      <c r="E340" s="12" t="s">
        <v>306</v>
      </c>
      <c r="F340" s="12" t="s">
        <v>23</v>
      </c>
      <c r="G340" s="10">
        <v>5835.53</v>
      </c>
      <c r="H340" s="10">
        <v>0</v>
      </c>
      <c r="I340" s="10">
        <v>224443.27</v>
      </c>
      <c r="J340" s="34">
        <v>0.5</v>
      </c>
      <c r="L340" s="11"/>
      <c r="M340" s="11"/>
      <c r="N340" s="124"/>
      <c r="O340" s="125"/>
    </row>
    <row r="341" spans="1:15">
      <c r="A341" s="15" t="s">
        <v>270</v>
      </c>
      <c r="B341" s="25" t="s">
        <v>278</v>
      </c>
      <c r="C341" s="39">
        <v>74</v>
      </c>
      <c r="D341" s="9">
        <v>41450</v>
      </c>
      <c r="E341" s="12" t="s">
        <v>297</v>
      </c>
      <c r="F341" s="12" t="s">
        <v>23</v>
      </c>
      <c r="G341" s="10">
        <v>10344.469999999999</v>
      </c>
      <c r="H341" s="10">
        <v>5236.8900000000003</v>
      </c>
      <c r="I341" s="10">
        <v>646529.66</v>
      </c>
      <c r="J341" s="34">
        <v>1</v>
      </c>
      <c r="L341" s="123" t="str">
        <f>E342</f>
        <v>JADE</v>
      </c>
      <c r="M341" s="123" t="s">
        <v>79</v>
      </c>
      <c r="N341" s="124">
        <f>I342</f>
        <v>179138.76</v>
      </c>
      <c r="O341" s="125">
        <f>J342</f>
        <v>0.5</v>
      </c>
    </row>
    <row r="342" spans="1:15">
      <c r="A342" s="15" t="s">
        <v>145</v>
      </c>
      <c r="B342" s="25" t="s">
        <v>85</v>
      </c>
      <c r="C342" s="39">
        <v>1015</v>
      </c>
      <c r="D342" s="9">
        <v>41413</v>
      </c>
      <c r="E342" s="12" t="s">
        <v>159</v>
      </c>
      <c r="F342" s="12" t="s">
        <v>23</v>
      </c>
      <c r="G342" s="10">
        <v>2866.22</v>
      </c>
      <c r="H342" s="10">
        <v>1988.44</v>
      </c>
      <c r="I342" s="10">
        <v>179138.76</v>
      </c>
      <c r="J342" s="62">
        <v>0.5</v>
      </c>
      <c r="L342" s="123" t="str">
        <f>E343</f>
        <v>JADE</v>
      </c>
      <c r="M342" s="123" t="s">
        <v>25</v>
      </c>
      <c r="N342" s="124">
        <f>SUM(I343:I349)</f>
        <v>2151370.65</v>
      </c>
      <c r="O342" s="125">
        <f>SUM(J343:J349)</f>
        <v>5.5</v>
      </c>
    </row>
    <row r="343" spans="1:15">
      <c r="A343" s="15" t="s">
        <v>145</v>
      </c>
      <c r="B343" s="25" t="s">
        <v>85</v>
      </c>
      <c r="C343" s="39">
        <v>1111</v>
      </c>
      <c r="D343" s="9">
        <v>41413</v>
      </c>
      <c r="E343" s="12" t="s">
        <v>159</v>
      </c>
      <c r="F343" s="12" t="s">
        <v>23</v>
      </c>
      <c r="G343" s="10">
        <v>3025.3</v>
      </c>
      <c r="H343" s="10">
        <v>2098.8000000000002</v>
      </c>
      <c r="I343" s="10">
        <v>189081</v>
      </c>
      <c r="J343" s="62">
        <v>0.5</v>
      </c>
      <c r="L343" s="11"/>
      <c r="M343" s="11"/>
      <c r="N343" s="124"/>
      <c r="O343" s="125"/>
    </row>
    <row r="344" spans="1:15">
      <c r="A344" s="15" t="s">
        <v>145</v>
      </c>
      <c r="B344" s="25" t="s">
        <v>85</v>
      </c>
      <c r="C344" s="39">
        <v>1314</v>
      </c>
      <c r="D344" s="9">
        <v>41413</v>
      </c>
      <c r="E344" s="12" t="s">
        <v>159</v>
      </c>
      <c r="F344" s="12" t="s">
        <v>23</v>
      </c>
      <c r="G344" s="10">
        <v>2910.13</v>
      </c>
      <c r="H344" s="10">
        <v>2018.9</v>
      </c>
      <c r="I344" s="10">
        <v>181883.01</v>
      </c>
      <c r="J344" s="62">
        <v>0.5</v>
      </c>
      <c r="L344" s="11"/>
      <c r="M344" s="11"/>
      <c r="N344" s="124"/>
      <c r="O344" s="125"/>
    </row>
    <row r="345" spans="1:15">
      <c r="A345" s="15" t="s">
        <v>120</v>
      </c>
      <c r="B345" s="25" t="s">
        <v>113</v>
      </c>
      <c r="C345" s="39">
        <v>48</v>
      </c>
      <c r="D345" s="9">
        <v>41307</v>
      </c>
      <c r="E345" s="12" t="s">
        <v>38</v>
      </c>
      <c r="F345" s="12" t="s">
        <v>23</v>
      </c>
      <c r="G345" s="10">
        <v>7427.74</v>
      </c>
      <c r="H345" s="10">
        <v>0</v>
      </c>
      <c r="I345" s="10">
        <v>464234</v>
      </c>
      <c r="J345" s="34">
        <v>1</v>
      </c>
      <c r="L345" s="11"/>
      <c r="M345" s="11"/>
      <c r="N345" s="124"/>
      <c r="O345" s="125"/>
    </row>
    <row r="346" spans="1:15">
      <c r="A346" s="15" t="s">
        <v>120</v>
      </c>
      <c r="B346" s="25" t="s">
        <v>201</v>
      </c>
      <c r="C346" s="42" t="s">
        <v>244</v>
      </c>
      <c r="D346" s="9">
        <v>41308</v>
      </c>
      <c r="E346" s="12" t="s">
        <v>38</v>
      </c>
      <c r="F346" s="12" t="s">
        <v>23</v>
      </c>
      <c r="G346" s="10">
        <v>480</v>
      </c>
      <c r="H346" s="10">
        <v>0</v>
      </c>
      <c r="I346" s="10">
        <v>30000</v>
      </c>
      <c r="J346" s="34">
        <v>1</v>
      </c>
      <c r="L346" s="11"/>
      <c r="M346" s="11"/>
      <c r="N346" s="124"/>
      <c r="O346" s="125"/>
    </row>
    <row r="347" spans="1:15">
      <c r="A347" s="15" t="s">
        <v>120</v>
      </c>
      <c r="B347" s="25" t="s">
        <v>113</v>
      </c>
      <c r="C347" s="39">
        <v>132</v>
      </c>
      <c r="D347" s="12">
        <v>41329</v>
      </c>
      <c r="E347" s="12" t="s">
        <v>38</v>
      </c>
      <c r="F347" s="12" t="s">
        <v>23</v>
      </c>
      <c r="G347" s="10">
        <f>I347*0.8%</f>
        <v>2646.5345600000001</v>
      </c>
      <c r="H347" s="10">
        <f>8965.14-G347</f>
        <v>6318.6054399999994</v>
      </c>
      <c r="I347" s="10">
        <v>330816.82</v>
      </c>
      <c r="J347" s="34">
        <v>0.5</v>
      </c>
      <c r="L347" s="11"/>
      <c r="M347" s="11"/>
      <c r="N347" s="124"/>
      <c r="O347" s="125"/>
    </row>
    <row r="348" spans="1:15">
      <c r="A348" s="15" t="s">
        <v>145</v>
      </c>
      <c r="B348" s="25" t="s">
        <v>85</v>
      </c>
      <c r="C348" s="39">
        <v>1408</v>
      </c>
      <c r="D348" s="9">
        <v>41416</v>
      </c>
      <c r="E348" s="12" t="s">
        <v>38</v>
      </c>
      <c r="F348" s="12" t="s">
        <v>23</v>
      </c>
      <c r="G348" s="10">
        <v>7642.85</v>
      </c>
      <c r="H348" s="10">
        <v>5302.22</v>
      </c>
      <c r="I348" s="10">
        <v>477677.91</v>
      </c>
      <c r="J348" s="34">
        <v>1</v>
      </c>
      <c r="L348" s="11"/>
      <c r="M348" s="11"/>
      <c r="N348" s="124"/>
      <c r="O348" s="125"/>
    </row>
    <row r="349" spans="1:15">
      <c r="A349" s="15" t="s">
        <v>145</v>
      </c>
      <c r="B349" s="25" t="s">
        <v>85</v>
      </c>
      <c r="C349" s="39">
        <v>1409</v>
      </c>
      <c r="D349" s="9">
        <v>41413</v>
      </c>
      <c r="E349" s="12" t="s">
        <v>38</v>
      </c>
      <c r="F349" s="12" t="s">
        <v>23</v>
      </c>
      <c r="G349" s="10">
        <v>7642.85</v>
      </c>
      <c r="H349" s="10">
        <v>5302.22</v>
      </c>
      <c r="I349" s="10">
        <v>477677.91</v>
      </c>
      <c r="J349" s="34">
        <v>1</v>
      </c>
      <c r="L349" s="123"/>
      <c r="M349" s="123"/>
      <c r="N349" s="124"/>
      <c r="O349" s="125"/>
    </row>
    <row r="350" spans="1:15">
      <c r="A350" s="15" t="s">
        <v>145</v>
      </c>
      <c r="B350" s="25" t="s">
        <v>85</v>
      </c>
      <c r="C350" s="39">
        <v>1609</v>
      </c>
      <c r="D350" s="9">
        <v>41411</v>
      </c>
      <c r="E350" s="12" t="s">
        <v>38</v>
      </c>
      <c r="F350" s="12" t="s">
        <v>23</v>
      </c>
      <c r="G350" s="10">
        <v>7619.99</v>
      </c>
      <c r="H350" s="10">
        <v>5286.37</v>
      </c>
      <c r="I350" s="10">
        <v>476249.26</v>
      </c>
      <c r="J350" s="34">
        <v>1</v>
      </c>
      <c r="L350" s="123" t="str">
        <f>E351</f>
        <v xml:space="preserve">JAIME </v>
      </c>
      <c r="M350" s="123" t="s">
        <v>27</v>
      </c>
      <c r="N350" s="124">
        <f>I351</f>
        <v>656450</v>
      </c>
      <c r="O350" s="125">
        <f>J351</f>
        <v>1</v>
      </c>
    </row>
    <row r="351" spans="1:15">
      <c r="A351" s="15" t="s">
        <v>53</v>
      </c>
      <c r="B351" s="25" t="s">
        <v>82</v>
      </c>
      <c r="C351" s="42">
        <v>66</v>
      </c>
      <c r="D351" s="9">
        <v>41389</v>
      </c>
      <c r="E351" s="12" t="s">
        <v>214</v>
      </c>
      <c r="F351" s="12" t="s">
        <v>23</v>
      </c>
      <c r="G351" s="10">
        <v>10503.2</v>
      </c>
      <c r="H351" s="10"/>
      <c r="I351" s="10">
        <v>656450</v>
      </c>
      <c r="J351" s="62">
        <v>1</v>
      </c>
      <c r="L351" s="123" t="str">
        <f>E352</f>
        <v xml:space="preserve">JAIME </v>
      </c>
      <c r="M351" s="123" t="s">
        <v>61</v>
      </c>
      <c r="N351" s="124">
        <f>SUM(I352:I353)</f>
        <v>960306.65999999992</v>
      </c>
      <c r="O351" s="125">
        <f>SUM(J352:J353)</f>
        <v>1.5</v>
      </c>
    </row>
    <row r="352" spans="1:15">
      <c r="A352" s="15" t="s">
        <v>53</v>
      </c>
      <c r="B352" s="25" t="s">
        <v>82</v>
      </c>
      <c r="C352" s="42">
        <v>55</v>
      </c>
      <c r="D352" s="9">
        <v>41391</v>
      </c>
      <c r="E352" s="12" t="s">
        <v>214</v>
      </c>
      <c r="F352" s="12" t="s">
        <v>23</v>
      </c>
      <c r="G352" s="10">
        <v>8116.91</v>
      </c>
      <c r="H352" s="10"/>
      <c r="I352" s="10">
        <v>507306.6</v>
      </c>
      <c r="J352" s="62">
        <v>1</v>
      </c>
      <c r="L352" s="11"/>
      <c r="M352" s="11"/>
      <c r="N352" s="124"/>
      <c r="O352" s="125"/>
    </row>
    <row r="353" spans="1:15">
      <c r="A353" s="15" t="s">
        <v>53</v>
      </c>
      <c r="B353" s="25" t="s">
        <v>113</v>
      </c>
      <c r="C353" s="42">
        <v>177</v>
      </c>
      <c r="D353" s="9">
        <v>41281</v>
      </c>
      <c r="E353" s="12" t="s">
        <v>22</v>
      </c>
      <c r="F353" s="12" t="s">
        <v>23</v>
      </c>
      <c r="G353" s="10">
        <v>7248</v>
      </c>
      <c r="H353" s="10">
        <f>12276.3-G353</f>
        <v>5028.2999999999993</v>
      </c>
      <c r="I353" s="10">
        <v>453000.06</v>
      </c>
      <c r="J353" s="34">
        <v>0.5</v>
      </c>
      <c r="L353" s="123" t="str">
        <f>E354</f>
        <v>MEL</v>
      </c>
      <c r="M353" s="123" t="s">
        <v>24</v>
      </c>
      <c r="N353" s="124">
        <f>I354</f>
        <v>214848.07</v>
      </c>
      <c r="O353" s="125">
        <f>J354</f>
        <v>0.5</v>
      </c>
    </row>
    <row r="354" spans="1:15">
      <c r="A354" s="15" t="s">
        <v>124</v>
      </c>
      <c r="B354" s="25" t="s">
        <v>85</v>
      </c>
      <c r="C354" s="39">
        <v>301</v>
      </c>
      <c r="D354" s="9">
        <v>41343</v>
      </c>
      <c r="E354" s="12" t="s">
        <v>22</v>
      </c>
      <c r="F354" s="12" t="s">
        <v>23</v>
      </c>
      <c r="G354" s="10">
        <v>5822.39</v>
      </c>
      <c r="H354" s="10"/>
      <c r="I354" s="10">
        <v>214848.07</v>
      </c>
      <c r="J354" s="34">
        <v>0.5</v>
      </c>
      <c r="L354" s="123" t="str">
        <f>E355</f>
        <v>MEL</v>
      </c>
      <c r="M354" s="123" t="s">
        <v>24</v>
      </c>
      <c r="N354" s="124">
        <f>SUM(I355:I357)</f>
        <v>974871.9</v>
      </c>
      <c r="O354" s="125">
        <f>SUM(J355:J357)</f>
        <v>2.25</v>
      </c>
    </row>
    <row r="355" spans="1:15">
      <c r="A355" s="15" t="s">
        <v>124</v>
      </c>
      <c r="B355" s="25" t="s">
        <v>85</v>
      </c>
      <c r="C355" s="39">
        <v>302</v>
      </c>
      <c r="D355" s="9">
        <v>41343</v>
      </c>
      <c r="E355" s="12" t="s">
        <v>22</v>
      </c>
      <c r="F355" s="12" t="s">
        <v>23</v>
      </c>
      <c r="G355" s="10">
        <v>2867.33</v>
      </c>
      <c r="H355" s="10"/>
      <c r="I355" s="10">
        <v>109440</v>
      </c>
      <c r="J355" s="62">
        <v>0.25</v>
      </c>
      <c r="L355" s="11"/>
      <c r="M355" s="11"/>
      <c r="N355" s="124"/>
      <c r="O355" s="125"/>
    </row>
    <row r="356" spans="1:15">
      <c r="A356" s="15" t="s">
        <v>124</v>
      </c>
      <c r="B356" s="25" t="s">
        <v>85</v>
      </c>
      <c r="C356" s="39">
        <v>305</v>
      </c>
      <c r="D356" s="9">
        <v>41343</v>
      </c>
      <c r="E356" s="12" t="s">
        <v>22</v>
      </c>
      <c r="F356" s="12" t="s">
        <v>23</v>
      </c>
      <c r="G356" s="10">
        <v>11808.44</v>
      </c>
      <c r="H356" s="10"/>
      <c r="I356" s="10">
        <v>435735.76</v>
      </c>
      <c r="J356" s="62">
        <v>1</v>
      </c>
      <c r="L356" s="11"/>
      <c r="M356" s="11"/>
      <c r="N356" s="124"/>
      <c r="O356" s="125"/>
    </row>
    <row r="357" spans="1:15">
      <c r="A357" s="15" t="s">
        <v>124</v>
      </c>
      <c r="B357" s="25" t="s">
        <v>85</v>
      </c>
      <c r="C357" s="39">
        <v>306</v>
      </c>
      <c r="D357" s="9">
        <v>41343</v>
      </c>
      <c r="E357" s="12" t="s">
        <v>22</v>
      </c>
      <c r="F357" s="12" t="s">
        <v>23</v>
      </c>
      <c r="G357" s="10">
        <v>11644.77</v>
      </c>
      <c r="H357" s="10"/>
      <c r="I357" s="10">
        <v>429696.14</v>
      </c>
      <c r="J357" s="62">
        <v>1</v>
      </c>
      <c r="L357" s="123" t="str">
        <f>E358</f>
        <v>MEL</v>
      </c>
      <c r="M357" s="123" t="s">
        <v>27</v>
      </c>
      <c r="N357" s="124">
        <f>SUM(I358:I361)</f>
        <v>1700100.2000000002</v>
      </c>
      <c r="O357" s="125">
        <f>SUM(J358:J361)</f>
        <v>4</v>
      </c>
    </row>
    <row r="358" spans="1:15">
      <c r="A358" s="15" t="s">
        <v>124</v>
      </c>
      <c r="B358" s="25" t="s">
        <v>85</v>
      </c>
      <c r="C358" s="39">
        <v>307</v>
      </c>
      <c r="D358" s="9">
        <v>41343</v>
      </c>
      <c r="E358" s="12" t="s">
        <v>22</v>
      </c>
      <c r="F358" s="12" t="s">
        <v>23</v>
      </c>
      <c r="G358" s="10">
        <v>11199.71</v>
      </c>
      <c r="H358" s="10"/>
      <c r="I358" s="10">
        <v>413273.32</v>
      </c>
      <c r="J358" s="62">
        <v>1</v>
      </c>
      <c r="L358" s="11"/>
      <c r="M358" s="11"/>
      <c r="N358" s="124"/>
      <c r="O358" s="125"/>
    </row>
    <row r="359" spans="1:15">
      <c r="A359" s="15" t="s">
        <v>124</v>
      </c>
      <c r="B359" s="25" t="s">
        <v>85</v>
      </c>
      <c r="C359" s="39">
        <v>308</v>
      </c>
      <c r="D359" s="9">
        <v>41343</v>
      </c>
      <c r="E359" s="12" t="s">
        <v>22</v>
      </c>
      <c r="F359" s="12" t="s">
        <v>23</v>
      </c>
      <c r="G359" s="10">
        <v>11895.67</v>
      </c>
      <c r="H359" s="10"/>
      <c r="I359" s="10">
        <v>438954.6</v>
      </c>
      <c r="J359" s="62">
        <v>1</v>
      </c>
      <c r="L359" s="11"/>
      <c r="M359" s="11"/>
      <c r="N359" s="124"/>
      <c r="O359" s="125"/>
    </row>
    <row r="360" spans="1:15">
      <c r="A360" s="15" t="s">
        <v>124</v>
      </c>
      <c r="B360" s="25" t="s">
        <v>85</v>
      </c>
      <c r="C360" s="39">
        <v>309</v>
      </c>
      <c r="D360" s="9">
        <v>41343</v>
      </c>
      <c r="E360" s="12" t="s">
        <v>22</v>
      </c>
      <c r="F360" s="12" t="s">
        <v>23</v>
      </c>
      <c r="G360" s="10">
        <v>11488.67</v>
      </c>
      <c r="H360" s="10"/>
      <c r="I360" s="10">
        <v>423936.14</v>
      </c>
      <c r="J360" s="62">
        <v>1</v>
      </c>
      <c r="L360" s="11"/>
      <c r="M360" s="11"/>
      <c r="N360" s="124"/>
      <c r="O360" s="125"/>
    </row>
    <row r="361" spans="1:15">
      <c r="A361" s="15" t="s">
        <v>124</v>
      </c>
      <c r="B361" s="25" t="s">
        <v>85</v>
      </c>
      <c r="C361" s="39">
        <v>310</v>
      </c>
      <c r="D361" s="9">
        <v>41343</v>
      </c>
      <c r="E361" s="12" t="s">
        <v>22</v>
      </c>
      <c r="F361" s="12" t="s">
        <v>23</v>
      </c>
      <c r="G361" s="10">
        <v>11488.67</v>
      </c>
      <c r="H361" s="10"/>
      <c r="I361" s="10">
        <v>423936.14</v>
      </c>
      <c r="J361" s="62">
        <v>1</v>
      </c>
      <c r="L361" s="123" t="str">
        <f>E362</f>
        <v>MEL</v>
      </c>
      <c r="M361" s="123" t="s">
        <v>79</v>
      </c>
      <c r="N361" s="124">
        <f>SUM(I362:I368)</f>
        <v>2621450.3500000006</v>
      </c>
      <c r="O361" s="125">
        <f>SUM(J362:J368)</f>
        <v>6.5</v>
      </c>
    </row>
    <row r="362" spans="1:15">
      <c r="A362" s="15" t="s">
        <v>124</v>
      </c>
      <c r="B362" s="25" t="s">
        <v>85</v>
      </c>
      <c r="C362" s="39">
        <v>311</v>
      </c>
      <c r="D362" s="9">
        <v>41343</v>
      </c>
      <c r="E362" s="12" t="s">
        <v>22</v>
      </c>
      <c r="F362" s="12" t="s">
        <v>23</v>
      </c>
      <c r="G362" s="10">
        <v>10834.97</v>
      </c>
      <c r="H362" s="10"/>
      <c r="I362" s="10">
        <v>399814.5</v>
      </c>
      <c r="J362" s="62">
        <v>1</v>
      </c>
      <c r="L362" s="11"/>
      <c r="M362" s="11"/>
      <c r="N362" s="124"/>
      <c r="O362" s="125"/>
    </row>
    <row r="363" spans="1:15">
      <c r="A363" s="15" t="s">
        <v>124</v>
      </c>
      <c r="B363" s="25" t="s">
        <v>85</v>
      </c>
      <c r="C363" s="39">
        <v>1409</v>
      </c>
      <c r="D363" s="9">
        <v>41343</v>
      </c>
      <c r="E363" s="12" t="s">
        <v>22</v>
      </c>
      <c r="F363" s="12" t="s">
        <v>23</v>
      </c>
      <c r="G363" s="10">
        <v>11060.43</v>
      </c>
      <c r="H363" s="10"/>
      <c r="I363" s="10">
        <v>408133.8</v>
      </c>
      <c r="J363" s="62">
        <v>1</v>
      </c>
      <c r="L363" s="11"/>
      <c r="M363" s="11"/>
      <c r="N363" s="124"/>
      <c r="O363" s="125"/>
    </row>
    <row r="364" spans="1:15">
      <c r="A364" s="15" t="s">
        <v>124</v>
      </c>
      <c r="B364" s="25" t="s">
        <v>85</v>
      </c>
      <c r="C364" s="39">
        <v>1410</v>
      </c>
      <c r="D364" s="9">
        <v>41343</v>
      </c>
      <c r="E364" s="12" t="s">
        <v>22</v>
      </c>
      <c r="F364" s="12" t="s">
        <v>23</v>
      </c>
      <c r="G364" s="10">
        <v>13069.9</v>
      </c>
      <c r="H364" s="10"/>
      <c r="I364" s="10">
        <v>482283.98</v>
      </c>
      <c r="J364" s="62">
        <v>1</v>
      </c>
      <c r="L364" s="11"/>
      <c r="M364" s="11"/>
      <c r="N364" s="124"/>
      <c r="O364" s="125"/>
    </row>
    <row r="365" spans="1:15">
      <c r="A365" s="15" t="s">
        <v>145</v>
      </c>
      <c r="B365" s="25" t="s">
        <v>85</v>
      </c>
      <c r="C365" s="39">
        <v>1810</v>
      </c>
      <c r="D365" s="9">
        <v>41411</v>
      </c>
      <c r="E365" s="12" t="s">
        <v>198</v>
      </c>
      <c r="F365" s="12" t="s">
        <v>23</v>
      </c>
      <c r="G365" s="10">
        <v>3123.8</v>
      </c>
      <c r="H365" s="10">
        <v>2167.13</v>
      </c>
      <c r="I365" s="10">
        <v>195237.34</v>
      </c>
      <c r="J365" s="62">
        <v>0.5</v>
      </c>
      <c r="L365" s="11"/>
      <c r="M365" s="11"/>
      <c r="N365" s="124"/>
      <c r="O365" s="125"/>
    </row>
    <row r="366" spans="1:15">
      <c r="A366" s="15" t="s">
        <v>270</v>
      </c>
      <c r="B366" s="25" t="s">
        <v>273</v>
      </c>
      <c r="C366" s="42">
        <v>31</v>
      </c>
      <c r="D366" s="9">
        <v>41455</v>
      </c>
      <c r="E366" s="12" t="s">
        <v>198</v>
      </c>
      <c r="F366" s="12" t="s">
        <v>23</v>
      </c>
      <c r="G366" s="10">
        <v>6180.17</v>
      </c>
      <c r="H366" s="10">
        <v>1969.93</v>
      </c>
      <c r="I366" s="10">
        <v>386260.76</v>
      </c>
      <c r="J366" s="62">
        <v>1</v>
      </c>
      <c r="L366" s="11"/>
      <c r="M366" s="11"/>
      <c r="N366" s="124"/>
      <c r="O366" s="125"/>
    </row>
    <row r="367" spans="1:15">
      <c r="A367" s="15" t="s">
        <v>270</v>
      </c>
      <c r="B367" s="25" t="s">
        <v>273</v>
      </c>
      <c r="C367" s="42">
        <v>68</v>
      </c>
      <c r="D367" s="9">
        <v>41452</v>
      </c>
      <c r="E367" s="12" t="s">
        <v>198</v>
      </c>
      <c r="F367" s="12" t="s">
        <v>23</v>
      </c>
      <c r="G367" s="10">
        <v>5881.51</v>
      </c>
      <c r="H367" s="10">
        <v>2977.51</v>
      </c>
      <c r="I367" s="10">
        <v>367594.19</v>
      </c>
      <c r="J367" s="62">
        <v>1</v>
      </c>
      <c r="L367" s="11"/>
      <c r="M367" s="11"/>
      <c r="N367" s="124"/>
      <c r="O367" s="125"/>
    </row>
    <row r="368" spans="1:15">
      <c r="A368" s="15" t="s">
        <v>145</v>
      </c>
      <c r="B368" s="25" t="s">
        <v>85</v>
      </c>
      <c r="C368" s="39">
        <v>816</v>
      </c>
      <c r="D368" s="9">
        <v>41415</v>
      </c>
      <c r="E368" s="12" t="s">
        <v>160</v>
      </c>
      <c r="F368" s="12" t="s">
        <v>23</v>
      </c>
      <c r="G368" s="10">
        <f>I368*1.6%</f>
        <v>6114.0124800000003</v>
      </c>
      <c r="H368" s="10">
        <v>3897.68</v>
      </c>
      <c r="I368" s="10">
        <v>382125.78</v>
      </c>
      <c r="J368" s="62">
        <v>1</v>
      </c>
      <c r="L368" s="123" t="str">
        <f>E369</f>
        <v>RONALDO</v>
      </c>
      <c r="M368" s="123" t="s">
        <v>79</v>
      </c>
      <c r="N368" s="124">
        <f>SUM(I369:I372)</f>
        <v>1222241.51</v>
      </c>
      <c r="O368" s="125">
        <f>SUM(J369:J372)</f>
        <v>3.5</v>
      </c>
    </row>
    <row r="369" spans="1:15">
      <c r="A369" s="15" t="s">
        <v>145</v>
      </c>
      <c r="B369" s="25" t="s">
        <v>85</v>
      </c>
      <c r="C369" s="39">
        <v>1111</v>
      </c>
      <c r="D369" s="9">
        <v>41413</v>
      </c>
      <c r="E369" s="12" t="s">
        <v>160</v>
      </c>
      <c r="F369" s="12" t="s">
        <v>23</v>
      </c>
      <c r="G369" s="10">
        <v>3025.3</v>
      </c>
      <c r="H369" s="10">
        <v>2098.8000000000002</v>
      </c>
      <c r="I369" s="10">
        <v>189081</v>
      </c>
      <c r="J369" s="62">
        <v>0.5</v>
      </c>
      <c r="L369" s="11"/>
      <c r="M369" s="11"/>
      <c r="N369" s="124"/>
      <c r="O369" s="125"/>
    </row>
    <row r="370" spans="1:15">
      <c r="A370" s="15" t="s">
        <v>145</v>
      </c>
      <c r="B370" s="25" t="s">
        <v>85</v>
      </c>
      <c r="C370" s="39">
        <v>510</v>
      </c>
      <c r="D370" s="9">
        <v>41413</v>
      </c>
      <c r="E370" s="12" t="s">
        <v>199</v>
      </c>
      <c r="F370" s="12" t="s">
        <v>23</v>
      </c>
      <c r="G370" s="10">
        <v>5366.77</v>
      </c>
      <c r="H370" s="10">
        <v>3723.2</v>
      </c>
      <c r="I370" s="10">
        <v>335423.21000000002</v>
      </c>
      <c r="J370" s="62">
        <v>1</v>
      </c>
      <c r="L370" s="11"/>
      <c r="M370" s="11"/>
      <c r="N370" s="124"/>
      <c r="O370" s="125"/>
    </row>
    <row r="371" spans="1:15">
      <c r="A371" s="15" t="s">
        <v>145</v>
      </c>
      <c r="B371" s="25" t="s">
        <v>85</v>
      </c>
      <c r="C371" s="39">
        <v>1516</v>
      </c>
      <c r="D371" s="9">
        <v>41408</v>
      </c>
      <c r="E371" s="12" t="s">
        <v>263</v>
      </c>
      <c r="F371" s="12" t="s">
        <v>23</v>
      </c>
      <c r="G371" s="10">
        <v>5011.3100000000004</v>
      </c>
      <c r="H371" s="10">
        <v>3476.6</v>
      </c>
      <c r="I371" s="10">
        <v>313206.90000000002</v>
      </c>
      <c r="J371" s="34">
        <v>1</v>
      </c>
      <c r="L371" s="11"/>
      <c r="M371" s="11"/>
      <c r="N371" s="124"/>
      <c r="O371" s="125"/>
    </row>
    <row r="372" spans="1:15">
      <c r="A372" s="15" t="s">
        <v>145</v>
      </c>
      <c r="B372" s="25" t="s">
        <v>85</v>
      </c>
      <c r="C372" s="39">
        <v>2201</v>
      </c>
      <c r="D372" s="9">
        <v>41408</v>
      </c>
      <c r="E372" s="12" t="s">
        <v>263</v>
      </c>
      <c r="F372" s="12" t="s">
        <v>23</v>
      </c>
      <c r="G372" s="10">
        <v>6152.49</v>
      </c>
      <c r="H372" s="10">
        <v>4268.29</v>
      </c>
      <c r="I372" s="10">
        <v>384530.4</v>
      </c>
      <c r="J372" s="34">
        <v>1</v>
      </c>
      <c r="L372" s="123" t="str">
        <f>E373</f>
        <v>SOLANGE</v>
      </c>
      <c r="M372" s="123" t="s">
        <v>23</v>
      </c>
      <c r="N372" s="124">
        <f>SUM(I373:I375)</f>
        <v>928681.95</v>
      </c>
      <c r="O372" s="125">
        <f>SUM(J373:J375)</f>
        <v>2</v>
      </c>
    </row>
    <row r="373" spans="1:15">
      <c r="A373" s="15" t="s">
        <v>145</v>
      </c>
      <c r="B373" s="25" t="s">
        <v>85</v>
      </c>
      <c r="C373" s="39">
        <v>2316</v>
      </c>
      <c r="D373" s="9">
        <v>41408</v>
      </c>
      <c r="E373" s="12" t="s">
        <v>263</v>
      </c>
      <c r="F373" s="12" t="s">
        <v>23</v>
      </c>
      <c r="G373" s="10">
        <v>3108.9</v>
      </c>
      <c r="H373" s="10">
        <v>2156.8000000000002</v>
      </c>
      <c r="I373" s="10">
        <v>194306.47</v>
      </c>
      <c r="J373" s="34">
        <v>0.5</v>
      </c>
      <c r="L373" s="11"/>
      <c r="M373" s="11"/>
      <c r="N373" s="124"/>
      <c r="O373" s="125"/>
    </row>
    <row r="374" spans="1:15">
      <c r="A374" s="15" t="s">
        <v>145</v>
      </c>
      <c r="B374" s="25" t="s">
        <v>82</v>
      </c>
      <c r="C374" s="39">
        <v>1604</v>
      </c>
      <c r="D374" s="9">
        <v>41446</v>
      </c>
      <c r="E374" s="12" t="s">
        <v>263</v>
      </c>
      <c r="F374" s="12" t="s">
        <v>23</v>
      </c>
      <c r="G374" s="10">
        <v>8183.37</v>
      </c>
      <c r="H374" s="10">
        <v>5677.22</v>
      </c>
      <c r="I374" s="10">
        <v>511460.85</v>
      </c>
      <c r="J374" s="62">
        <v>1</v>
      </c>
      <c r="L374" s="11"/>
      <c r="M374" s="11"/>
      <c r="N374" s="124"/>
      <c r="O374" s="125"/>
    </row>
    <row r="375" spans="1:15">
      <c r="A375" s="15" t="s">
        <v>270</v>
      </c>
      <c r="B375" s="25" t="s">
        <v>273</v>
      </c>
      <c r="C375" s="42">
        <v>13</v>
      </c>
      <c r="D375" s="9">
        <v>41452</v>
      </c>
      <c r="E375" s="12" t="s">
        <v>298</v>
      </c>
      <c r="F375" s="12" t="s">
        <v>23</v>
      </c>
      <c r="G375" s="10">
        <v>3566.63</v>
      </c>
      <c r="H375" s="10">
        <v>1354.21</v>
      </c>
      <c r="I375" s="10">
        <v>222914.63</v>
      </c>
      <c r="J375" s="62">
        <v>0.5</v>
      </c>
      <c r="L375" s="123" t="str">
        <f>E376</f>
        <v xml:space="preserve">ARTTE </v>
      </c>
      <c r="M375" s="123" t="s">
        <v>79</v>
      </c>
      <c r="N375" s="124">
        <f>I376</f>
        <v>2085000</v>
      </c>
      <c r="O375" s="125">
        <f>J376</f>
        <v>1</v>
      </c>
    </row>
    <row r="376" spans="1:15">
      <c r="A376" s="15" t="s">
        <v>89</v>
      </c>
      <c r="B376" s="25" t="s">
        <v>85</v>
      </c>
      <c r="C376" s="39">
        <v>41</v>
      </c>
      <c r="D376" s="12">
        <v>41401</v>
      </c>
      <c r="E376" s="12" t="s">
        <v>187</v>
      </c>
      <c r="F376" s="12" t="s">
        <v>27</v>
      </c>
      <c r="G376" s="10">
        <f>I376*2%</f>
        <v>41700</v>
      </c>
      <c r="H376" s="10">
        <v>0</v>
      </c>
      <c r="I376" s="10">
        <v>2085000</v>
      </c>
      <c r="J376" s="62">
        <v>1</v>
      </c>
      <c r="L376" s="123" t="str">
        <f>E377</f>
        <v xml:space="preserve">ARTTE </v>
      </c>
      <c r="M376" s="123" t="s">
        <v>23</v>
      </c>
      <c r="N376" s="124">
        <f>SUM(I377:I378)</f>
        <v>800000</v>
      </c>
      <c r="O376" s="125">
        <f>SUM(J377:J378)</f>
        <v>2</v>
      </c>
    </row>
    <row r="377" spans="1:15">
      <c r="A377" s="15" t="s">
        <v>186</v>
      </c>
      <c r="B377" s="25" t="s">
        <v>85</v>
      </c>
      <c r="C377" s="42">
        <v>1108</v>
      </c>
      <c r="D377" s="9">
        <v>41396</v>
      </c>
      <c r="E377" s="12" t="s">
        <v>187</v>
      </c>
      <c r="F377" s="12" t="s">
        <v>27</v>
      </c>
      <c r="G377" s="10">
        <f>I377*2%</f>
        <v>8000</v>
      </c>
      <c r="H377" s="10">
        <v>0</v>
      </c>
      <c r="I377" s="10">
        <v>400000</v>
      </c>
      <c r="J377" s="62">
        <v>1</v>
      </c>
      <c r="L377" s="11"/>
      <c r="M377" s="11"/>
      <c r="N377" s="124"/>
      <c r="O377" s="125"/>
    </row>
    <row r="378" spans="1:15">
      <c r="A378" s="15" t="s">
        <v>186</v>
      </c>
      <c r="B378" s="25" t="s">
        <v>85</v>
      </c>
      <c r="C378" s="42">
        <v>1109</v>
      </c>
      <c r="D378" s="9">
        <v>41396</v>
      </c>
      <c r="E378" s="12" t="s">
        <v>187</v>
      </c>
      <c r="F378" s="12" t="s">
        <v>27</v>
      </c>
      <c r="G378" s="10">
        <f>I378*2%</f>
        <v>8000</v>
      </c>
      <c r="H378" s="10">
        <v>0</v>
      </c>
      <c r="I378" s="10">
        <v>400000</v>
      </c>
      <c r="J378" s="62">
        <v>1</v>
      </c>
      <c r="L378" s="123" t="str">
        <f>E379</f>
        <v>CAXAMBU</v>
      </c>
      <c r="M378" s="123" t="s">
        <v>24</v>
      </c>
      <c r="N378" s="124">
        <f>SUM(I379:I381)</f>
        <v>674850.81</v>
      </c>
      <c r="O378" s="125">
        <f>SUM(J379:J381)</f>
        <v>2</v>
      </c>
    </row>
    <row r="379" spans="1:15">
      <c r="A379" s="15" t="s">
        <v>195</v>
      </c>
      <c r="B379" s="25" t="s">
        <v>220</v>
      </c>
      <c r="C379" s="42">
        <v>46</v>
      </c>
      <c r="D379" s="9">
        <v>41315</v>
      </c>
      <c r="E379" s="12" t="s">
        <v>41</v>
      </c>
      <c r="F379" s="12" t="s">
        <v>27</v>
      </c>
      <c r="G379" s="10">
        <v>2480</v>
      </c>
      <c r="H379" s="10">
        <f>2747.84-G379</f>
        <v>267.84000000000015</v>
      </c>
      <c r="I379" s="10">
        <v>124000</v>
      </c>
      <c r="J379" s="34">
        <v>0.5</v>
      </c>
      <c r="L379" s="11"/>
      <c r="M379" s="11"/>
      <c r="N379" s="124"/>
      <c r="O379" s="125"/>
    </row>
    <row r="380" spans="1:15">
      <c r="A380" s="15" t="s">
        <v>209</v>
      </c>
      <c r="B380" s="25" t="s">
        <v>220</v>
      </c>
      <c r="C380" s="39">
        <v>55</v>
      </c>
      <c r="D380" s="9">
        <v>41356</v>
      </c>
      <c r="E380" s="12" t="s">
        <v>41</v>
      </c>
      <c r="F380" s="12" t="s">
        <v>27</v>
      </c>
      <c r="G380" s="10">
        <v>4416.1000000000004</v>
      </c>
      <c r="H380" s="10"/>
      <c r="I380" s="10">
        <v>120002.73</v>
      </c>
      <c r="J380" s="62">
        <v>0.5</v>
      </c>
      <c r="L380" s="11"/>
      <c r="M380" s="11"/>
      <c r="N380" s="124"/>
      <c r="O380" s="125"/>
    </row>
    <row r="381" spans="1:15">
      <c r="A381" s="15" t="s">
        <v>124</v>
      </c>
      <c r="B381" s="25" t="s">
        <v>85</v>
      </c>
      <c r="C381" s="42" t="s">
        <v>222</v>
      </c>
      <c r="D381" s="9">
        <v>41343</v>
      </c>
      <c r="E381" s="12" t="s">
        <v>41</v>
      </c>
      <c r="F381" s="12" t="s">
        <v>27</v>
      </c>
      <c r="G381" s="10">
        <v>11675.98</v>
      </c>
      <c r="H381" s="10"/>
      <c r="I381" s="10">
        <v>430848.08</v>
      </c>
      <c r="J381" s="62">
        <v>1</v>
      </c>
      <c r="L381" s="123" t="str">
        <f>E382</f>
        <v>CAXAMBU</v>
      </c>
      <c r="M381" s="123" t="s">
        <v>61</v>
      </c>
      <c r="N381" s="124">
        <f>SUM(I382:I385)</f>
        <v>1525936.57</v>
      </c>
      <c r="O381" s="125">
        <f>SUM(J382:J385)</f>
        <v>3.5</v>
      </c>
    </row>
    <row r="382" spans="1:15">
      <c r="A382" s="15" t="s">
        <v>145</v>
      </c>
      <c r="B382" s="25" t="s">
        <v>85</v>
      </c>
      <c r="C382" s="39">
        <v>904</v>
      </c>
      <c r="D382" s="9">
        <v>41413</v>
      </c>
      <c r="E382" s="12" t="s">
        <v>41</v>
      </c>
      <c r="F382" s="12" t="s">
        <v>27</v>
      </c>
      <c r="G382" s="10">
        <v>3682.47</v>
      </c>
      <c r="H382" s="10">
        <v>2554.71</v>
      </c>
      <c r="I382" s="10">
        <v>230154.07</v>
      </c>
      <c r="J382" s="62">
        <v>0.5</v>
      </c>
      <c r="L382" s="11"/>
      <c r="M382" s="11"/>
      <c r="N382" s="124"/>
      <c r="O382" s="125"/>
    </row>
    <row r="383" spans="1:15">
      <c r="A383" s="15" t="s">
        <v>270</v>
      </c>
      <c r="B383" s="25" t="s">
        <v>273</v>
      </c>
      <c r="C383" s="42">
        <v>35</v>
      </c>
      <c r="D383" s="9">
        <v>41455</v>
      </c>
      <c r="E383" s="12" t="s">
        <v>274</v>
      </c>
      <c r="F383" s="12" t="s">
        <v>27</v>
      </c>
      <c r="G383" s="10">
        <v>5964.06</v>
      </c>
      <c r="H383" s="10">
        <v>1386.64</v>
      </c>
      <c r="I383" s="10">
        <v>372753.5</v>
      </c>
      <c r="J383" s="62">
        <v>1</v>
      </c>
      <c r="L383" s="11"/>
      <c r="M383" s="11"/>
      <c r="N383" s="124"/>
      <c r="O383" s="125"/>
    </row>
    <row r="384" spans="1:15">
      <c r="A384" s="15" t="s">
        <v>270</v>
      </c>
      <c r="B384" s="25" t="s">
        <v>271</v>
      </c>
      <c r="C384" s="42">
        <v>36</v>
      </c>
      <c r="D384" s="9">
        <v>41455</v>
      </c>
      <c r="E384" s="12" t="s">
        <v>274</v>
      </c>
      <c r="F384" s="12" t="s">
        <v>27</v>
      </c>
      <c r="G384" s="10">
        <v>7877.26</v>
      </c>
      <c r="H384" s="10">
        <v>3987.86</v>
      </c>
      <c r="I384" s="10">
        <v>492329</v>
      </c>
      <c r="J384" s="62">
        <v>1</v>
      </c>
      <c r="L384" s="11"/>
      <c r="M384" s="11"/>
      <c r="N384" s="124"/>
      <c r="O384" s="125"/>
    </row>
    <row r="385" spans="1:15">
      <c r="A385" s="15" t="s">
        <v>270</v>
      </c>
      <c r="B385" s="25" t="s">
        <v>271</v>
      </c>
      <c r="C385" s="42">
        <v>46</v>
      </c>
      <c r="D385" s="9">
        <v>41455</v>
      </c>
      <c r="E385" s="12" t="s">
        <v>274</v>
      </c>
      <c r="F385" s="12" t="s">
        <v>27</v>
      </c>
      <c r="G385" s="10">
        <v>6891.2</v>
      </c>
      <c r="H385" s="10">
        <v>3488.67</v>
      </c>
      <c r="I385" s="10">
        <v>430700</v>
      </c>
      <c r="J385" s="62">
        <v>1</v>
      </c>
      <c r="L385" s="123" t="str">
        <f>E386</f>
        <v>EVA</v>
      </c>
      <c r="M385" s="123" t="s">
        <v>23</v>
      </c>
      <c r="N385" s="124">
        <f>I386</f>
        <v>530824.75</v>
      </c>
      <c r="O385" s="125">
        <f>J386</f>
        <v>1</v>
      </c>
    </row>
    <row r="386" spans="1:15">
      <c r="A386" s="15" t="s">
        <v>270</v>
      </c>
      <c r="B386" s="25" t="s">
        <v>271</v>
      </c>
      <c r="C386" s="39">
        <v>77</v>
      </c>
      <c r="D386" s="9">
        <v>41451</v>
      </c>
      <c r="E386" s="12" t="s">
        <v>276</v>
      </c>
      <c r="F386" s="12" t="s">
        <v>27</v>
      </c>
      <c r="G386" s="10">
        <v>8493.2000000000007</v>
      </c>
      <c r="H386" s="10">
        <v>4299.68</v>
      </c>
      <c r="I386" s="10">
        <v>530824.75</v>
      </c>
      <c r="J386" s="62">
        <v>1</v>
      </c>
      <c r="L386" s="11"/>
      <c r="M386" s="11"/>
      <c r="N386" s="124"/>
      <c r="O386" s="125"/>
    </row>
    <row r="387" spans="1:15">
      <c r="A387" s="15" t="s">
        <v>57</v>
      </c>
      <c r="B387" s="25" t="s">
        <v>188</v>
      </c>
      <c r="C387" s="39">
        <v>46</v>
      </c>
      <c r="D387" s="9">
        <v>41301</v>
      </c>
      <c r="E387" s="12" t="s">
        <v>39</v>
      </c>
      <c r="F387" s="12" t="s">
        <v>27</v>
      </c>
      <c r="G387" s="10">
        <v>6255.53</v>
      </c>
      <c r="H387" s="10">
        <v>0</v>
      </c>
      <c r="I387" s="10">
        <v>312776.49</v>
      </c>
      <c r="J387" s="34">
        <v>1</v>
      </c>
      <c r="L387" s="123" t="str">
        <f>E387</f>
        <v>FANY</v>
      </c>
      <c r="M387" s="123" t="s">
        <v>61</v>
      </c>
      <c r="N387" s="124">
        <f>SUM(I387:I389)</f>
        <v>1502610.45</v>
      </c>
      <c r="O387" s="125">
        <f>SUM(J387:J389)</f>
        <v>4</v>
      </c>
    </row>
    <row r="388" spans="1:15">
      <c r="A388" s="15" t="s">
        <v>208</v>
      </c>
      <c r="B388" s="25" t="s">
        <v>188</v>
      </c>
      <c r="C388" s="39">
        <v>17</v>
      </c>
      <c r="D388" s="12">
        <v>41369</v>
      </c>
      <c r="E388" s="12" t="s">
        <v>39</v>
      </c>
      <c r="F388" s="12" t="s">
        <v>27</v>
      </c>
      <c r="G388" s="10">
        <f>I388*2%</f>
        <v>5477.43</v>
      </c>
      <c r="H388" s="10"/>
      <c r="I388" s="10">
        <v>273871.5</v>
      </c>
      <c r="J388" s="34">
        <v>1</v>
      </c>
      <c r="L388" s="11"/>
      <c r="M388" s="11"/>
      <c r="N388" s="124"/>
      <c r="O388" s="125"/>
    </row>
    <row r="389" spans="1:15">
      <c r="A389" s="15" t="s">
        <v>124</v>
      </c>
      <c r="B389" s="25" t="s">
        <v>85</v>
      </c>
      <c r="C389" s="42" t="s">
        <v>228</v>
      </c>
      <c r="D389" s="9">
        <v>41343</v>
      </c>
      <c r="E389" s="12" t="s">
        <v>75</v>
      </c>
      <c r="F389" s="12" t="s">
        <v>27</v>
      </c>
      <c r="G389" s="10">
        <f>12411.29+12411.29</f>
        <v>24822.58</v>
      </c>
      <c r="H389" s="10"/>
      <c r="I389" s="10">
        <f>457981.23+457981.23</f>
        <v>915962.46</v>
      </c>
      <c r="J389" s="62">
        <v>2</v>
      </c>
      <c r="L389" s="123" t="str">
        <f>E390</f>
        <v>GALILEU</v>
      </c>
      <c r="M389" s="123" t="s">
        <v>23</v>
      </c>
      <c r="N389" s="124">
        <f>SUM(I390:I393)</f>
        <v>1047069.31</v>
      </c>
      <c r="O389" s="125">
        <f>SUM(J390:J393)</f>
        <v>2</v>
      </c>
    </row>
    <row r="390" spans="1:15">
      <c r="A390" s="15" t="s">
        <v>145</v>
      </c>
      <c r="B390" s="25" t="s">
        <v>85</v>
      </c>
      <c r="C390" s="42">
        <v>1605</v>
      </c>
      <c r="D390" s="9">
        <v>41413</v>
      </c>
      <c r="E390" s="12" t="s">
        <v>75</v>
      </c>
      <c r="F390" s="12" t="s">
        <v>27</v>
      </c>
      <c r="G390" s="10">
        <v>5198.3900000000003</v>
      </c>
      <c r="H390" s="10">
        <v>4307.1899999999996</v>
      </c>
      <c r="I390" s="10">
        <v>324899</v>
      </c>
      <c r="J390" s="62">
        <v>0.5</v>
      </c>
      <c r="L390" s="11"/>
      <c r="M390" s="11"/>
      <c r="N390" s="124"/>
      <c r="O390" s="125"/>
    </row>
    <row r="391" spans="1:15">
      <c r="A391" s="15" t="s">
        <v>145</v>
      </c>
      <c r="B391" s="25" t="s">
        <v>85</v>
      </c>
      <c r="C391" s="42">
        <v>1606</v>
      </c>
      <c r="D391" s="9">
        <v>41413</v>
      </c>
      <c r="E391" s="12" t="s">
        <v>75</v>
      </c>
      <c r="F391" s="12" t="s">
        <v>27</v>
      </c>
      <c r="G391" s="10">
        <v>2958.41</v>
      </c>
      <c r="H391" s="10">
        <v>0</v>
      </c>
      <c r="I391" s="10">
        <v>184900.5</v>
      </c>
      <c r="J391" s="62">
        <v>0.5</v>
      </c>
      <c r="L391" s="11"/>
      <c r="M391" s="11"/>
      <c r="N391" s="124"/>
      <c r="O391" s="125"/>
    </row>
    <row r="392" spans="1:15">
      <c r="A392" s="15" t="s">
        <v>145</v>
      </c>
      <c r="B392" s="25" t="s">
        <v>85</v>
      </c>
      <c r="C392" s="39">
        <v>1612</v>
      </c>
      <c r="D392" s="9">
        <v>41413</v>
      </c>
      <c r="E392" s="12" t="s">
        <v>75</v>
      </c>
      <c r="F392" s="12" t="s">
        <v>27</v>
      </c>
      <c r="G392" s="10">
        <v>5397.49</v>
      </c>
      <c r="H392" s="10">
        <v>3744.51</v>
      </c>
      <c r="I392" s="10">
        <v>337343.13</v>
      </c>
      <c r="J392" s="62">
        <v>0.5</v>
      </c>
      <c r="L392" s="11"/>
      <c r="M392" s="11"/>
      <c r="N392" s="124"/>
      <c r="O392" s="125"/>
    </row>
    <row r="393" spans="1:15">
      <c r="A393" s="15" t="s">
        <v>145</v>
      </c>
      <c r="B393" s="25" t="s">
        <v>85</v>
      </c>
      <c r="C393" s="42">
        <v>1714</v>
      </c>
      <c r="D393" s="9">
        <v>41418</v>
      </c>
      <c r="E393" s="12" t="s">
        <v>75</v>
      </c>
      <c r="F393" s="12" t="s">
        <v>27</v>
      </c>
      <c r="G393" s="10">
        <v>3198.83</v>
      </c>
      <c r="H393" s="10">
        <v>2219.19</v>
      </c>
      <c r="I393" s="10">
        <v>199926.68</v>
      </c>
      <c r="J393" s="62">
        <v>0.5</v>
      </c>
      <c r="L393" s="123" t="str">
        <f>E394</f>
        <v xml:space="preserve">GILDA </v>
      </c>
      <c r="M393" s="123" t="s">
        <v>61</v>
      </c>
      <c r="N393" s="124">
        <f>I394</f>
        <v>580000</v>
      </c>
      <c r="O393" s="125">
        <f>J394</f>
        <v>1</v>
      </c>
    </row>
    <row r="394" spans="1:15">
      <c r="A394" s="15" t="s">
        <v>53</v>
      </c>
      <c r="B394" s="25" t="s">
        <v>85</v>
      </c>
      <c r="C394" s="39">
        <v>26</v>
      </c>
      <c r="D394" s="9">
        <v>41357</v>
      </c>
      <c r="E394" s="12" t="s">
        <v>194</v>
      </c>
      <c r="F394" s="12" t="s">
        <v>27</v>
      </c>
      <c r="G394" s="10">
        <v>9280</v>
      </c>
      <c r="H394" s="10"/>
      <c r="I394" s="10">
        <v>580000</v>
      </c>
      <c r="J394" s="62">
        <v>1</v>
      </c>
      <c r="L394" s="123" t="str">
        <f>E395</f>
        <v xml:space="preserve">GILDA </v>
      </c>
      <c r="M394" s="123" t="s">
        <v>316</v>
      </c>
      <c r="N394" s="124">
        <f>SUM(I395:I397)</f>
        <v>1551426.5799999998</v>
      </c>
      <c r="O394" s="125">
        <f>SUM(J395:J397)</f>
        <v>3.5</v>
      </c>
    </row>
    <row r="395" spans="1:15">
      <c r="A395" s="15" t="s">
        <v>53</v>
      </c>
      <c r="B395" s="25" t="s">
        <v>85</v>
      </c>
      <c r="C395" s="42">
        <v>21</v>
      </c>
      <c r="D395" s="9">
        <v>41358</v>
      </c>
      <c r="E395" s="12" t="s">
        <v>194</v>
      </c>
      <c r="F395" s="12" t="s">
        <v>27</v>
      </c>
      <c r="G395" s="10">
        <v>6720</v>
      </c>
      <c r="H395" s="10"/>
      <c r="I395" s="10">
        <v>420000</v>
      </c>
      <c r="J395" s="34">
        <v>1</v>
      </c>
      <c r="L395" s="11"/>
      <c r="M395" s="11"/>
      <c r="N395" s="124"/>
      <c r="O395" s="125"/>
    </row>
    <row r="396" spans="1:15">
      <c r="A396" s="15" t="s">
        <v>124</v>
      </c>
      <c r="B396" s="25" t="s">
        <v>85</v>
      </c>
      <c r="C396" s="42" t="s">
        <v>229</v>
      </c>
      <c r="D396" s="9">
        <v>41343</v>
      </c>
      <c r="E396" s="12" t="s">
        <v>194</v>
      </c>
      <c r="F396" s="12" t="s">
        <v>27</v>
      </c>
      <c r="G396" s="10">
        <f>12805.07+12805.07</f>
        <v>25610.14</v>
      </c>
      <c r="H396" s="10"/>
      <c r="I396" s="10">
        <f>472511.95+472511.95</f>
        <v>945023.9</v>
      </c>
      <c r="J396" s="62">
        <v>2</v>
      </c>
      <c r="L396" s="11"/>
      <c r="M396" s="11"/>
      <c r="N396" s="124"/>
      <c r="O396" s="125"/>
    </row>
    <row r="397" spans="1:15">
      <c r="A397" s="15" t="s">
        <v>145</v>
      </c>
      <c r="B397" s="25" t="s">
        <v>85</v>
      </c>
      <c r="C397" s="39">
        <v>411</v>
      </c>
      <c r="D397" s="9">
        <v>41414</v>
      </c>
      <c r="E397" s="12" t="s">
        <v>194</v>
      </c>
      <c r="F397" s="12" t="s">
        <v>27</v>
      </c>
      <c r="G397" s="10">
        <v>2982.45</v>
      </c>
      <c r="H397" s="10">
        <v>2069.0700000000002</v>
      </c>
      <c r="I397" s="10">
        <v>186402.68</v>
      </c>
      <c r="J397" s="62">
        <v>0.5</v>
      </c>
      <c r="L397" s="123" t="str">
        <f>E398</f>
        <v xml:space="preserve">GILDA </v>
      </c>
      <c r="M397" s="123" t="s">
        <v>24</v>
      </c>
      <c r="N397" s="124">
        <f>I398</f>
        <v>417381.38</v>
      </c>
      <c r="O397" s="125">
        <f>J398</f>
        <v>1</v>
      </c>
    </row>
    <row r="398" spans="1:15">
      <c r="A398" s="15" t="s">
        <v>186</v>
      </c>
      <c r="B398" s="25" t="s">
        <v>85</v>
      </c>
      <c r="C398" s="42">
        <v>708</v>
      </c>
      <c r="D398" s="9">
        <v>41402</v>
      </c>
      <c r="E398" s="12" t="s">
        <v>194</v>
      </c>
      <c r="F398" s="12" t="s">
        <v>27</v>
      </c>
      <c r="G398" s="10">
        <f>I398*2%</f>
        <v>8347.6275999999998</v>
      </c>
      <c r="H398" s="10">
        <v>0</v>
      </c>
      <c r="I398" s="10">
        <v>417381.38</v>
      </c>
      <c r="J398" s="62">
        <v>1</v>
      </c>
      <c r="L398" s="123" t="str">
        <f>E399</f>
        <v xml:space="preserve">GILDA </v>
      </c>
      <c r="M398" s="123" t="s">
        <v>25</v>
      </c>
      <c r="N398" s="124">
        <f>SUM(I399:I404)</f>
        <v>2167975.15</v>
      </c>
      <c r="O398" s="125">
        <f>SUM(J399:J404)</f>
        <v>4.5</v>
      </c>
    </row>
    <row r="399" spans="1:15">
      <c r="A399" s="15" t="s">
        <v>186</v>
      </c>
      <c r="B399" s="25" t="s">
        <v>85</v>
      </c>
      <c r="C399" s="42">
        <v>709</v>
      </c>
      <c r="D399" s="9">
        <v>41402</v>
      </c>
      <c r="E399" s="12" t="s">
        <v>194</v>
      </c>
      <c r="F399" s="12" t="s">
        <v>27</v>
      </c>
      <c r="G399" s="10">
        <f>I399*2%</f>
        <v>8347.6275999999998</v>
      </c>
      <c r="H399" s="10">
        <v>0</v>
      </c>
      <c r="I399" s="10">
        <v>417381.38</v>
      </c>
      <c r="J399" s="62">
        <v>1</v>
      </c>
      <c r="L399" s="11"/>
      <c r="M399" s="11"/>
      <c r="N399" s="124"/>
      <c r="O399" s="125"/>
    </row>
    <row r="400" spans="1:15">
      <c r="A400" s="15" t="s">
        <v>124</v>
      </c>
      <c r="B400" s="25" t="s">
        <v>85</v>
      </c>
      <c r="C400" s="42">
        <v>105</v>
      </c>
      <c r="D400" s="9">
        <v>41343</v>
      </c>
      <c r="E400" s="12" t="s">
        <v>77</v>
      </c>
      <c r="F400" s="12" t="s">
        <v>27</v>
      </c>
      <c r="G400" s="10">
        <v>10783.09</v>
      </c>
      <c r="H400" s="10"/>
      <c r="I400" s="10">
        <v>397899.91</v>
      </c>
      <c r="J400" s="62">
        <v>1</v>
      </c>
      <c r="L400" s="11"/>
      <c r="M400" s="11"/>
      <c r="N400" s="124"/>
      <c r="O400" s="125"/>
    </row>
    <row r="401" spans="1:15">
      <c r="A401" s="15" t="s">
        <v>120</v>
      </c>
      <c r="B401" s="25" t="s">
        <v>85</v>
      </c>
      <c r="C401" s="42">
        <v>92</v>
      </c>
      <c r="D401" s="9">
        <v>41414</v>
      </c>
      <c r="E401" s="12" t="s">
        <v>77</v>
      </c>
      <c r="F401" s="12" t="s">
        <v>27</v>
      </c>
      <c r="G401" s="10">
        <v>13177.08</v>
      </c>
      <c r="H401" s="10">
        <v>0</v>
      </c>
      <c r="I401" s="10">
        <v>625000</v>
      </c>
      <c r="J401" s="62">
        <v>1</v>
      </c>
      <c r="L401" s="11"/>
      <c r="M401" s="11"/>
      <c r="N401" s="124"/>
      <c r="O401" s="125"/>
    </row>
    <row r="402" spans="1:15">
      <c r="A402" s="15" t="s">
        <v>146</v>
      </c>
      <c r="B402" s="25" t="s">
        <v>85</v>
      </c>
      <c r="C402" s="42">
        <v>2112</v>
      </c>
      <c r="D402" s="9">
        <v>41434</v>
      </c>
      <c r="E402" s="12" t="s">
        <v>77</v>
      </c>
      <c r="F402" s="12" t="s">
        <v>27</v>
      </c>
      <c r="G402" s="10">
        <v>5450.3</v>
      </c>
      <c r="H402" s="10">
        <v>3783.19</v>
      </c>
      <c r="I402" s="10">
        <v>340643.86</v>
      </c>
      <c r="J402" s="62">
        <v>0.5</v>
      </c>
      <c r="L402" s="11"/>
      <c r="M402" s="11"/>
      <c r="N402" s="124"/>
      <c r="O402" s="125"/>
    </row>
    <row r="403" spans="1:15">
      <c r="A403" s="15" t="s">
        <v>145</v>
      </c>
      <c r="B403" s="25" t="s">
        <v>85</v>
      </c>
      <c r="C403" s="39">
        <v>1508</v>
      </c>
      <c r="D403" s="12">
        <v>41437</v>
      </c>
      <c r="E403" s="12" t="s">
        <v>77</v>
      </c>
      <c r="F403" s="12" t="s">
        <v>27</v>
      </c>
      <c r="G403" s="10">
        <v>3149.6</v>
      </c>
      <c r="H403" s="10">
        <v>0</v>
      </c>
      <c r="I403" s="10">
        <v>196850</v>
      </c>
      <c r="J403" s="62">
        <v>0.5</v>
      </c>
      <c r="L403" s="11"/>
      <c r="M403" s="11"/>
      <c r="N403" s="124"/>
      <c r="O403" s="125"/>
    </row>
    <row r="404" spans="1:15">
      <c r="A404" s="15" t="s">
        <v>145</v>
      </c>
      <c r="B404" s="25" t="s">
        <v>85</v>
      </c>
      <c r="C404" s="39">
        <v>508</v>
      </c>
      <c r="D404" s="12">
        <v>41437</v>
      </c>
      <c r="E404" s="12" t="s">
        <v>77</v>
      </c>
      <c r="F404" s="12" t="s">
        <v>27</v>
      </c>
      <c r="G404" s="10">
        <v>3043.2</v>
      </c>
      <c r="H404" s="10">
        <v>0</v>
      </c>
      <c r="I404" s="10">
        <v>190200</v>
      </c>
      <c r="J404" s="62">
        <v>0.5</v>
      </c>
      <c r="L404" s="123" t="str">
        <f>E405</f>
        <v>JONAS</v>
      </c>
      <c r="M404" s="123" t="s">
        <v>24</v>
      </c>
      <c r="N404" s="124">
        <f>SUM(I405:I407)</f>
        <v>847142.63</v>
      </c>
      <c r="O404" s="125">
        <f>SUM(J405:J407)</f>
        <v>1.5</v>
      </c>
    </row>
    <row r="405" spans="1:15">
      <c r="A405" s="15" t="s">
        <v>145</v>
      </c>
      <c r="B405" s="25" t="s">
        <v>85</v>
      </c>
      <c r="C405" s="42">
        <v>1605</v>
      </c>
      <c r="D405" s="9">
        <v>41413</v>
      </c>
      <c r="E405" s="12" t="s">
        <v>155</v>
      </c>
      <c r="F405" s="12" t="s">
        <v>27</v>
      </c>
      <c r="G405" s="10">
        <v>5198.3900000000003</v>
      </c>
      <c r="H405" s="10">
        <v>4307.1899999999996</v>
      </c>
      <c r="I405" s="10">
        <v>324899</v>
      </c>
      <c r="J405" s="62">
        <v>0.5</v>
      </c>
      <c r="L405" s="11"/>
      <c r="M405" s="11"/>
      <c r="N405" s="124"/>
      <c r="O405" s="125"/>
    </row>
    <row r="406" spans="1:15">
      <c r="A406" s="15" t="s">
        <v>145</v>
      </c>
      <c r="B406" s="25" t="s">
        <v>85</v>
      </c>
      <c r="C406" s="42">
        <v>1606</v>
      </c>
      <c r="D406" s="9">
        <v>41413</v>
      </c>
      <c r="E406" s="12" t="s">
        <v>155</v>
      </c>
      <c r="F406" s="12" t="s">
        <v>27</v>
      </c>
      <c r="G406" s="10">
        <v>2958.41</v>
      </c>
      <c r="H406" s="10">
        <v>0</v>
      </c>
      <c r="I406" s="10">
        <v>184900.5</v>
      </c>
      <c r="J406" s="62">
        <v>0.5</v>
      </c>
      <c r="L406" s="11"/>
      <c r="M406" s="11"/>
      <c r="N406" s="124"/>
      <c r="O406" s="125"/>
    </row>
    <row r="407" spans="1:15">
      <c r="A407" s="15" t="s">
        <v>145</v>
      </c>
      <c r="B407" s="25" t="s">
        <v>85</v>
      </c>
      <c r="C407" s="39">
        <v>1612</v>
      </c>
      <c r="D407" s="9">
        <v>41413</v>
      </c>
      <c r="E407" s="12" t="s">
        <v>155</v>
      </c>
      <c r="F407" s="12" t="s">
        <v>27</v>
      </c>
      <c r="G407" s="10">
        <v>5397.49</v>
      </c>
      <c r="H407" s="10">
        <v>3744.51</v>
      </c>
      <c r="I407" s="10">
        <v>337343.13</v>
      </c>
      <c r="J407" s="62">
        <v>0.5</v>
      </c>
      <c r="L407" s="123" t="str">
        <f>E408</f>
        <v>JONAS</v>
      </c>
      <c r="M407" s="123" t="s">
        <v>26</v>
      </c>
      <c r="N407" s="124">
        <f>SUM(I408:I411)</f>
        <v>1330966.95</v>
      </c>
      <c r="O407" s="125">
        <f>SUM(J408:J411)</f>
        <v>3.5</v>
      </c>
    </row>
    <row r="408" spans="1:15">
      <c r="A408" s="15" t="s">
        <v>145</v>
      </c>
      <c r="B408" s="25" t="s">
        <v>85</v>
      </c>
      <c r="C408" s="42">
        <v>1714</v>
      </c>
      <c r="D408" s="9">
        <v>41418</v>
      </c>
      <c r="E408" s="12" t="s">
        <v>155</v>
      </c>
      <c r="F408" s="12" t="s">
        <v>27</v>
      </c>
      <c r="G408" s="10">
        <v>3198.83</v>
      </c>
      <c r="H408" s="10">
        <v>2219.19</v>
      </c>
      <c r="I408" s="10">
        <v>199926.68</v>
      </c>
      <c r="J408" s="62">
        <v>0.5</v>
      </c>
      <c r="L408" s="11"/>
      <c r="M408" s="11"/>
      <c r="N408" s="124"/>
      <c r="O408" s="125"/>
    </row>
    <row r="409" spans="1:15">
      <c r="A409" s="15" t="s">
        <v>124</v>
      </c>
      <c r="B409" s="25" t="s">
        <v>85</v>
      </c>
      <c r="C409" s="42" t="s">
        <v>232</v>
      </c>
      <c r="D409" s="9">
        <v>41343</v>
      </c>
      <c r="E409" s="12" t="s">
        <v>155</v>
      </c>
      <c r="F409" s="12" t="s">
        <v>27</v>
      </c>
      <c r="G409" s="10">
        <v>24038.720000000001</v>
      </c>
      <c r="H409" s="10"/>
      <c r="I409" s="10">
        <v>887037.54</v>
      </c>
      <c r="J409" s="62">
        <v>2</v>
      </c>
      <c r="L409" s="11"/>
      <c r="M409" s="11"/>
      <c r="N409" s="124"/>
      <c r="O409" s="125"/>
    </row>
    <row r="410" spans="1:15">
      <c r="A410" s="15" t="s">
        <v>195</v>
      </c>
      <c r="B410" s="25" t="s">
        <v>220</v>
      </c>
      <c r="C410" s="42">
        <v>46</v>
      </c>
      <c r="D410" s="9">
        <v>41315</v>
      </c>
      <c r="E410" s="12" t="s">
        <v>42</v>
      </c>
      <c r="F410" s="12" t="s">
        <v>27</v>
      </c>
      <c r="G410" s="10">
        <v>2480</v>
      </c>
      <c r="H410" s="10">
        <f>2747.84-G410</f>
        <v>267.84000000000015</v>
      </c>
      <c r="I410" s="10">
        <v>124000</v>
      </c>
      <c r="J410" s="34">
        <v>0.5</v>
      </c>
      <c r="L410" s="11"/>
      <c r="M410" s="11"/>
      <c r="N410" s="124"/>
      <c r="O410" s="125"/>
    </row>
    <row r="411" spans="1:15">
      <c r="A411" s="15" t="s">
        <v>209</v>
      </c>
      <c r="B411" s="25" t="s">
        <v>220</v>
      </c>
      <c r="C411" s="39">
        <v>55</v>
      </c>
      <c r="D411" s="9">
        <v>41356</v>
      </c>
      <c r="E411" s="12" t="s">
        <v>42</v>
      </c>
      <c r="F411" s="12" t="s">
        <v>27</v>
      </c>
      <c r="G411" s="10">
        <v>4416.1000000000004</v>
      </c>
      <c r="H411" s="10"/>
      <c r="I411" s="10">
        <v>120002.73</v>
      </c>
      <c r="J411" s="62">
        <v>0.5</v>
      </c>
      <c r="L411" s="123" t="str">
        <f>E412</f>
        <v>KHAL</v>
      </c>
      <c r="M411" s="123" t="s">
        <v>24</v>
      </c>
      <c r="N411" s="124">
        <f>I412</f>
        <v>430848.08</v>
      </c>
      <c r="O411" s="125">
        <f>J412</f>
        <v>1</v>
      </c>
    </row>
    <row r="412" spans="1:15">
      <c r="A412" s="15" t="s">
        <v>124</v>
      </c>
      <c r="B412" s="25" t="s">
        <v>85</v>
      </c>
      <c r="C412" s="42" t="s">
        <v>222</v>
      </c>
      <c r="D412" s="9">
        <v>41343</v>
      </c>
      <c r="E412" s="12" t="s">
        <v>42</v>
      </c>
      <c r="F412" s="12" t="s">
        <v>27</v>
      </c>
      <c r="G412" s="10">
        <v>11675.98</v>
      </c>
      <c r="H412" s="10"/>
      <c r="I412" s="10">
        <v>430848.08</v>
      </c>
      <c r="J412" s="62">
        <v>1</v>
      </c>
      <c r="L412" s="123" t="str">
        <f>E413</f>
        <v>KHAL</v>
      </c>
      <c r="M412" s="123" t="s">
        <v>24</v>
      </c>
      <c r="N412" s="124">
        <f>SUM(I413:I414)</f>
        <v>416556.75</v>
      </c>
      <c r="O412" s="125">
        <f>SUM(J413:J414)</f>
        <v>1</v>
      </c>
    </row>
    <row r="413" spans="1:15">
      <c r="A413" s="15" t="s">
        <v>145</v>
      </c>
      <c r="B413" s="25" t="s">
        <v>85</v>
      </c>
      <c r="C413" s="39">
        <v>411</v>
      </c>
      <c r="D413" s="9">
        <v>41414</v>
      </c>
      <c r="E413" s="12" t="s">
        <v>42</v>
      </c>
      <c r="F413" s="12" t="s">
        <v>27</v>
      </c>
      <c r="G413" s="10">
        <v>2982.45</v>
      </c>
      <c r="H413" s="10">
        <v>2069.0700000000002</v>
      </c>
      <c r="I413" s="10">
        <v>186402.68</v>
      </c>
      <c r="J413" s="62">
        <v>0.5</v>
      </c>
      <c r="L413" s="11"/>
      <c r="M413" s="11"/>
      <c r="N413" s="124"/>
      <c r="O413" s="125"/>
    </row>
    <row r="414" spans="1:15">
      <c r="A414" s="15" t="s">
        <v>145</v>
      </c>
      <c r="B414" s="25" t="s">
        <v>85</v>
      </c>
      <c r="C414" s="39">
        <v>904</v>
      </c>
      <c r="D414" s="9">
        <v>41413</v>
      </c>
      <c r="E414" s="12" t="s">
        <v>42</v>
      </c>
      <c r="F414" s="12" t="s">
        <v>27</v>
      </c>
      <c r="G414" s="10">
        <v>3682.47</v>
      </c>
      <c r="H414" s="10">
        <v>2554.71</v>
      </c>
      <c r="I414" s="10">
        <v>230154.07</v>
      </c>
      <c r="J414" s="62">
        <v>0.5</v>
      </c>
      <c r="L414" s="123" t="str">
        <f>E415</f>
        <v>KHAL</v>
      </c>
      <c r="M414" s="123" t="s">
        <v>25</v>
      </c>
      <c r="N414" s="124">
        <f>SUM(I415:I419)</f>
        <v>1031021.77</v>
      </c>
      <c r="O414" s="125">
        <f>SUM(J415:J419)</f>
        <v>4</v>
      </c>
    </row>
    <row r="415" spans="1:15">
      <c r="A415" s="15" t="s">
        <v>145</v>
      </c>
      <c r="B415" s="25" t="s">
        <v>85</v>
      </c>
      <c r="C415" s="39">
        <v>1015</v>
      </c>
      <c r="D415" s="9">
        <v>41413</v>
      </c>
      <c r="E415" s="12" t="s">
        <v>42</v>
      </c>
      <c r="F415" s="12" t="s">
        <v>27</v>
      </c>
      <c r="G415" s="10">
        <v>2866.22</v>
      </c>
      <c r="H415" s="10">
        <v>1988.44</v>
      </c>
      <c r="I415" s="10">
        <v>179138.76</v>
      </c>
      <c r="J415" s="62">
        <v>0.5</v>
      </c>
      <c r="L415" s="11"/>
      <c r="M415" s="11"/>
      <c r="N415" s="124"/>
      <c r="O415" s="125"/>
    </row>
    <row r="416" spans="1:15">
      <c r="A416" s="15" t="s">
        <v>145</v>
      </c>
      <c r="B416" s="25" t="s">
        <v>85</v>
      </c>
      <c r="C416" s="39">
        <v>1314</v>
      </c>
      <c r="D416" s="9">
        <v>41413</v>
      </c>
      <c r="E416" s="12" t="s">
        <v>42</v>
      </c>
      <c r="F416" s="12" t="s">
        <v>27</v>
      </c>
      <c r="G416" s="10">
        <v>2910.13</v>
      </c>
      <c r="H416" s="10">
        <v>2018.9</v>
      </c>
      <c r="I416" s="10">
        <v>181883.01</v>
      </c>
      <c r="J416" s="62">
        <v>0.5</v>
      </c>
      <c r="L416" s="11"/>
      <c r="M416" s="11"/>
      <c r="N416" s="124"/>
      <c r="O416" s="125"/>
    </row>
    <row r="417" spans="1:15">
      <c r="A417" s="15" t="s">
        <v>116</v>
      </c>
      <c r="B417" s="25" t="s">
        <v>136</v>
      </c>
      <c r="C417" s="39">
        <v>22</v>
      </c>
      <c r="D417" s="9">
        <v>41280</v>
      </c>
      <c r="E417" s="12" t="s">
        <v>19</v>
      </c>
      <c r="F417" s="12" t="s">
        <v>27</v>
      </c>
      <c r="G417" s="10">
        <v>4440</v>
      </c>
      <c r="H417" s="10">
        <f>4440-G417</f>
        <v>0</v>
      </c>
      <c r="I417" s="10">
        <v>222000</v>
      </c>
      <c r="J417" s="34">
        <v>1</v>
      </c>
      <c r="L417" s="11"/>
      <c r="M417" s="11"/>
      <c r="N417" s="124"/>
      <c r="O417" s="125"/>
    </row>
    <row r="418" spans="1:15">
      <c r="A418" s="15" t="s">
        <v>116</v>
      </c>
      <c r="B418" s="25" t="s">
        <v>117</v>
      </c>
      <c r="C418" s="39">
        <v>174</v>
      </c>
      <c r="D418" s="9">
        <v>41293</v>
      </c>
      <c r="E418" s="12" t="s">
        <v>19</v>
      </c>
      <c r="F418" s="12" t="s">
        <v>27</v>
      </c>
      <c r="G418" s="10">
        <v>4040</v>
      </c>
      <c r="H418" s="10">
        <f>4040-G418</f>
        <v>0</v>
      </c>
      <c r="I418" s="10">
        <v>202000</v>
      </c>
      <c r="J418" s="34">
        <v>1</v>
      </c>
      <c r="L418" s="11"/>
      <c r="M418" s="11"/>
      <c r="N418" s="124"/>
      <c r="O418" s="125"/>
    </row>
    <row r="419" spans="1:15">
      <c r="A419" s="15" t="s">
        <v>195</v>
      </c>
      <c r="B419" s="25" t="s">
        <v>117</v>
      </c>
      <c r="C419" s="39">
        <v>105</v>
      </c>
      <c r="D419" s="12">
        <v>41309</v>
      </c>
      <c r="E419" s="12" t="s">
        <v>19</v>
      </c>
      <c r="F419" s="12" t="s">
        <v>27</v>
      </c>
      <c r="G419" s="10">
        <v>4920</v>
      </c>
      <c r="H419" s="10">
        <v>0</v>
      </c>
      <c r="I419" s="10">
        <v>246000</v>
      </c>
      <c r="J419" s="34">
        <v>1</v>
      </c>
      <c r="L419" s="123" t="str">
        <f>E420</f>
        <v>MAGAL</v>
      </c>
      <c r="M419" s="123" t="s">
        <v>61</v>
      </c>
      <c r="N419" s="124">
        <f>SUM(I420:I423)</f>
        <v>879000</v>
      </c>
      <c r="O419" s="125">
        <f>SUM(J420:J423)</f>
        <v>4</v>
      </c>
    </row>
    <row r="420" spans="1:15">
      <c r="A420" s="15" t="s">
        <v>195</v>
      </c>
      <c r="B420" s="25" t="s">
        <v>220</v>
      </c>
      <c r="C420" s="39">
        <v>108</v>
      </c>
      <c r="D420" s="12">
        <v>41329</v>
      </c>
      <c r="E420" s="12" t="s">
        <v>19</v>
      </c>
      <c r="F420" s="12" t="s">
        <v>27</v>
      </c>
      <c r="G420" s="10">
        <f>I420*2%</f>
        <v>4180</v>
      </c>
      <c r="H420" s="10">
        <f>7691.2-G420</f>
        <v>3511.2</v>
      </c>
      <c r="I420" s="10">
        <v>209000</v>
      </c>
      <c r="J420" s="34">
        <v>1</v>
      </c>
      <c r="L420" s="11"/>
      <c r="M420" s="11"/>
      <c r="N420" s="124"/>
      <c r="O420" s="125"/>
    </row>
    <row r="421" spans="1:15">
      <c r="A421" s="15" t="s">
        <v>219</v>
      </c>
      <c r="B421" s="25" t="s">
        <v>211</v>
      </c>
      <c r="C421" s="39">
        <v>26</v>
      </c>
      <c r="D421" s="9">
        <v>41347</v>
      </c>
      <c r="E421" s="12" t="s">
        <v>19</v>
      </c>
      <c r="F421" s="12" t="s">
        <v>27</v>
      </c>
      <c r="G421" s="10">
        <f>I421*2%</f>
        <v>4200</v>
      </c>
      <c r="H421" s="10"/>
      <c r="I421" s="10">
        <v>210000</v>
      </c>
      <c r="J421" s="34">
        <v>1</v>
      </c>
      <c r="L421" s="11"/>
      <c r="M421" s="11"/>
      <c r="N421" s="124"/>
      <c r="O421" s="125"/>
    </row>
    <row r="422" spans="1:15">
      <c r="A422" s="15" t="s">
        <v>219</v>
      </c>
      <c r="B422" s="25" t="s">
        <v>211</v>
      </c>
      <c r="C422" s="39">
        <v>92</v>
      </c>
      <c r="D422" s="9">
        <v>41350</v>
      </c>
      <c r="E422" s="12" t="s">
        <v>19</v>
      </c>
      <c r="F422" s="12" t="s">
        <v>27</v>
      </c>
      <c r="G422" s="10">
        <f>I422*2%</f>
        <v>4800</v>
      </c>
      <c r="H422" s="10"/>
      <c r="I422" s="10">
        <v>240000</v>
      </c>
      <c r="J422" s="34">
        <v>1</v>
      </c>
      <c r="L422" s="11"/>
      <c r="M422" s="11"/>
      <c r="N422" s="124"/>
      <c r="O422" s="125"/>
    </row>
    <row r="423" spans="1:15">
      <c r="A423" s="15" t="s">
        <v>204</v>
      </c>
      <c r="B423" s="25" t="s">
        <v>82</v>
      </c>
      <c r="C423" s="42">
        <v>125</v>
      </c>
      <c r="D423" s="9">
        <v>41378</v>
      </c>
      <c r="E423" s="12" t="s">
        <v>19</v>
      </c>
      <c r="F423" s="12" t="s">
        <v>27</v>
      </c>
      <c r="G423" s="10">
        <f>I423*2%</f>
        <v>4400</v>
      </c>
      <c r="H423" s="10"/>
      <c r="I423" s="10">
        <v>220000</v>
      </c>
      <c r="J423" s="62">
        <v>1</v>
      </c>
      <c r="L423" s="123" t="str">
        <f>E424</f>
        <v>MAGAL</v>
      </c>
      <c r="M423" s="123" t="s">
        <v>79</v>
      </c>
      <c r="N423" s="124">
        <f>I424</f>
        <v>235174.15</v>
      </c>
      <c r="O423" s="125">
        <f>J424</f>
        <v>1</v>
      </c>
    </row>
    <row r="424" spans="1:15">
      <c r="A424" s="15" t="s">
        <v>209</v>
      </c>
      <c r="B424" s="25" t="s">
        <v>210</v>
      </c>
      <c r="C424" s="42">
        <v>55</v>
      </c>
      <c r="D424" s="9">
        <v>41394</v>
      </c>
      <c r="E424" s="12" t="s">
        <v>19</v>
      </c>
      <c r="F424" s="12" t="s">
        <v>27</v>
      </c>
      <c r="G424" s="10">
        <f>I424*2%</f>
        <v>4703.4830000000002</v>
      </c>
      <c r="H424" s="10"/>
      <c r="I424" s="10">
        <v>235174.15</v>
      </c>
      <c r="J424" s="62">
        <v>1</v>
      </c>
      <c r="L424" s="123" t="str">
        <f>E425</f>
        <v>MAGAL</v>
      </c>
      <c r="M424" s="123" t="s">
        <v>24</v>
      </c>
      <c r="N424" s="124">
        <f>SUM(I425:I428)</f>
        <v>2331398</v>
      </c>
      <c r="O424" s="125">
        <f>SUM(J425:J428)</f>
        <v>4</v>
      </c>
    </row>
    <row r="425" spans="1:15">
      <c r="A425" s="15" t="s">
        <v>270</v>
      </c>
      <c r="B425" s="25" t="s">
        <v>272</v>
      </c>
      <c r="C425" s="42">
        <v>23</v>
      </c>
      <c r="D425" s="9">
        <v>41455</v>
      </c>
      <c r="E425" s="42" t="s">
        <v>19</v>
      </c>
      <c r="F425" s="12" t="s">
        <v>27</v>
      </c>
      <c r="G425" s="10">
        <v>0</v>
      </c>
      <c r="H425" s="10">
        <v>0</v>
      </c>
      <c r="I425" s="10">
        <v>604850</v>
      </c>
      <c r="J425" s="62">
        <v>1</v>
      </c>
      <c r="L425" s="11"/>
      <c r="M425" s="11"/>
      <c r="N425" s="124"/>
      <c r="O425" s="125"/>
    </row>
    <row r="426" spans="1:15">
      <c r="A426" s="15" t="s">
        <v>53</v>
      </c>
      <c r="B426" s="25" t="s">
        <v>85</v>
      </c>
      <c r="C426" s="39">
        <v>53</v>
      </c>
      <c r="D426" s="9">
        <v>41356</v>
      </c>
      <c r="E426" s="12" t="s">
        <v>235</v>
      </c>
      <c r="F426" s="12" t="s">
        <v>27</v>
      </c>
      <c r="G426" s="10">
        <v>18943.79</v>
      </c>
      <c r="H426" s="10"/>
      <c r="I426" s="10">
        <v>699033</v>
      </c>
      <c r="J426" s="62">
        <v>1</v>
      </c>
      <c r="L426" s="11"/>
      <c r="M426" s="11"/>
      <c r="N426" s="124"/>
      <c r="O426" s="125"/>
    </row>
    <row r="427" spans="1:15">
      <c r="A427" s="15" t="s">
        <v>120</v>
      </c>
      <c r="B427" s="25" t="s">
        <v>113</v>
      </c>
      <c r="C427" s="39">
        <v>36</v>
      </c>
      <c r="D427" s="9">
        <v>41332</v>
      </c>
      <c r="E427" s="12" t="s">
        <v>235</v>
      </c>
      <c r="F427" s="12" t="s">
        <v>27</v>
      </c>
      <c r="G427" s="10">
        <f>I427*1.6%</f>
        <v>10296</v>
      </c>
      <c r="H427" s="10">
        <f>17438.85-G427</f>
        <v>7142.8499999999985</v>
      </c>
      <c r="I427" s="10">
        <v>643500</v>
      </c>
      <c r="J427" s="34">
        <v>1</v>
      </c>
      <c r="L427" s="11"/>
      <c r="M427" s="11"/>
      <c r="N427" s="124"/>
      <c r="O427" s="125"/>
    </row>
    <row r="428" spans="1:15">
      <c r="A428" s="15" t="s">
        <v>270</v>
      </c>
      <c r="B428" s="25" t="s">
        <v>273</v>
      </c>
      <c r="C428" s="39">
        <v>51</v>
      </c>
      <c r="D428" s="9">
        <v>41455</v>
      </c>
      <c r="E428" s="12" t="s">
        <v>275</v>
      </c>
      <c r="F428" s="12" t="s">
        <v>27</v>
      </c>
      <c r="G428" s="10">
        <v>6144.24</v>
      </c>
      <c r="H428" s="10">
        <v>2119.7600000000002</v>
      </c>
      <c r="I428" s="10">
        <v>384015</v>
      </c>
      <c r="J428" s="62">
        <v>1</v>
      </c>
      <c r="L428" s="123" t="str">
        <f>E429</f>
        <v>PATRICIA</v>
      </c>
      <c r="M428" s="123" t="s">
        <v>26</v>
      </c>
      <c r="N428" s="124">
        <f>SUM(I429:I430)</f>
        <v>1049196</v>
      </c>
      <c r="O428" s="125">
        <f>SUM(J429:J430)</f>
        <v>2</v>
      </c>
    </row>
    <row r="429" spans="1:15">
      <c r="A429" s="15" t="s">
        <v>124</v>
      </c>
      <c r="B429" s="25" t="s">
        <v>85</v>
      </c>
      <c r="C429" s="42">
        <v>610</v>
      </c>
      <c r="D429" s="9">
        <v>41343</v>
      </c>
      <c r="E429" s="12" t="s">
        <v>237</v>
      </c>
      <c r="F429" s="12" t="s">
        <v>27</v>
      </c>
      <c r="G429" s="10">
        <v>10564.39</v>
      </c>
      <c r="H429" s="10"/>
      <c r="I429" s="10">
        <v>389830</v>
      </c>
      <c r="J429" s="62">
        <v>1</v>
      </c>
      <c r="L429" s="11"/>
      <c r="M429" s="11"/>
      <c r="N429" s="124"/>
      <c r="O429" s="125"/>
    </row>
    <row r="430" spans="1:15">
      <c r="A430" s="15" t="s">
        <v>145</v>
      </c>
      <c r="B430" s="25" t="s">
        <v>85</v>
      </c>
      <c r="C430" s="39">
        <v>1305</v>
      </c>
      <c r="D430" s="9">
        <v>41413</v>
      </c>
      <c r="E430" s="12" t="s">
        <v>237</v>
      </c>
      <c r="F430" s="12" t="s">
        <v>27</v>
      </c>
      <c r="G430" s="10">
        <v>10549.86</v>
      </c>
      <c r="H430" s="10">
        <v>0</v>
      </c>
      <c r="I430" s="10">
        <v>659366</v>
      </c>
      <c r="J430" s="62">
        <v>1</v>
      </c>
      <c r="L430" s="123" t="str">
        <f>E431</f>
        <v>PATRICIA</v>
      </c>
      <c r="M430" s="123" t="s">
        <v>23</v>
      </c>
      <c r="N430" s="124">
        <f>I431</f>
        <v>401788.53</v>
      </c>
      <c r="O430" s="125">
        <f>J431</f>
        <v>1</v>
      </c>
    </row>
    <row r="431" spans="1:15">
      <c r="A431" s="15" t="s">
        <v>146</v>
      </c>
      <c r="B431" s="25" t="s">
        <v>85</v>
      </c>
      <c r="C431" s="39">
        <v>1906</v>
      </c>
      <c r="D431" s="9">
        <v>41398</v>
      </c>
      <c r="E431" s="12" t="s">
        <v>237</v>
      </c>
      <c r="F431" s="12" t="s">
        <v>27</v>
      </c>
      <c r="G431" s="10">
        <v>6428.62</v>
      </c>
      <c r="H431" s="10">
        <v>4459.8500000000004</v>
      </c>
      <c r="I431" s="10">
        <v>401788.53</v>
      </c>
      <c r="J431" s="62">
        <v>1</v>
      </c>
      <c r="L431" s="123" t="str">
        <f>E432</f>
        <v>PATRICIA</v>
      </c>
      <c r="M431" s="123" t="s">
        <v>61</v>
      </c>
      <c r="N431" s="124">
        <f>SUM(I432:I434)</f>
        <v>892520.03</v>
      </c>
      <c r="O431" s="125">
        <f>SUM(J432:J434)</f>
        <v>2</v>
      </c>
    </row>
    <row r="432" spans="1:15">
      <c r="A432" s="15" t="s">
        <v>270</v>
      </c>
      <c r="B432" s="25" t="s">
        <v>271</v>
      </c>
      <c r="C432" s="39">
        <v>2</v>
      </c>
      <c r="D432" s="9">
        <v>41455</v>
      </c>
      <c r="E432" s="12" t="s">
        <v>237</v>
      </c>
      <c r="F432" s="12" t="s">
        <v>27</v>
      </c>
      <c r="G432" s="10">
        <v>3894.8</v>
      </c>
      <c r="H432" s="10">
        <v>1971.74</v>
      </c>
      <c r="I432" s="10">
        <v>243425</v>
      </c>
      <c r="J432" s="34">
        <v>0.5</v>
      </c>
      <c r="L432" s="11"/>
      <c r="M432" s="11"/>
      <c r="N432" s="124"/>
      <c r="O432" s="125"/>
    </row>
    <row r="433" spans="1:15">
      <c r="A433" s="15" t="s">
        <v>208</v>
      </c>
      <c r="B433" s="25" t="s">
        <v>226</v>
      </c>
      <c r="C433" s="39">
        <v>138</v>
      </c>
      <c r="D433" s="9">
        <v>41357</v>
      </c>
      <c r="E433" s="12" t="s">
        <v>239</v>
      </c>
      <c r="F433" s="12" t="s">
        <v>27</v>
      </c>
      <c r="G433" s="10">
        <v>3810.94</v>
      </c>
      <c r="H433" s="10"/>
      <c r="I433" s="10">
        <v>122538.28</v>
      </c>
      <c r="J433" s="62">
        <v>0.5</v>
      </c>
      <c r="L433" s="11"/>
      <c r="M433" s="11"/>
      <c r="N433" s="124"/>
      <c r="O433" s="125"/>
    </row>
    <row r="434" spans="1:15">
      <c r="A434" s="15" t="s">
        <v>145</v>
      </c>
      <c r="B434" s="25" t="s">
        <v>85</v>
      </c>
      <c r="C434" s="39">
        <v>2113</v>
      </c>
      <c r="D434" s="9">
        <v>41413</v>
      </c>
      <c r="E434" s="12" t="s">
        <v>239</v>
      </c>
      <c r="F434" s="12" t="s">
        <v>27</v>
      </c>
      <c r="G434" s="10">
        <v>8424.91</v>
      </c>
      <c r="H434" s="10">
        <v>5844.78</v>
      </c>
      <c r="I434" s="10">
        <v>526556.75</v>
      </c>
      <c r="J434" s="62">
        <v>1</v>
      </c>
      <c r="L434" s="123" t="str">
        <f>E435</f>
        <v>SYLMARA</v>
      </c>
      <c r="M434" s="123" t="s">
        <v>25</v>
      </c>
      <c r="N434" s="124">
        <f>SUM(I435:I436)</f>
        <v>374700</v>
      </c>
      <c r="O434" s="125">
        <f>SUM(J435:J436)</f>
        <v>1</v>
      </c>
    </row>
    <row r="435" spans="1:15">
      <c r="A435" s="15" t="s">
        <v>270</v>
      </c>
      <c r="B435" s="25" t="s">
        <v>271</v>
      </c>
      <c r="C435" s="42">
        <v>25</v>
      </c>
      <c r="D435" s="9">
        <v>41455</v>
      </c>
      <c r="E435" s="42" t="s">
        <v>239</v>
      </c>
      <c r="F435" s="12" t="s">
        <v>27</v>
      </c>
      <c r="G435" s="10">
        <v>5995.2</v>
      </c>
      <c r="H435" s="10">
        <v>3035.07</v>
      </c>
      <c r="I435" s="10">
        <v>374700</v>
      </c>
      <c r="J435" s="62">
        <v>1</v>
      </c>
      <c r="L435" s="11"/>
      <c r="M435" s="11"/>
      <c r="N435" s="124"/>
      <c r="O435" s="125"/>
    </row>
    <row r="436" spans="1:15">
      <c r="A436" s="15" t="s">
        <v>320</v>
      </c>
      <c r="B436" s="25" t="s">
        <v>320</v>
      </c>
      <c r="C436" s="42" t="s">
        <v>320</v>
      </c>
      <c r="D436" s="9">
        <v>41275</v>
      </c>
      <c r="E436" s="12" t="s">
        <v>320</v>
      </c>
      <c r="F436" s="12" t="s">
        <v>319</v>
      </c>
      <c r="G436" s="10">
        <v>0</v>
      </c>
      <c r="H436" s="10">
        <v>0</v>
      </c>
      <c r="I436" s="10">
        <v>0</v>
      </c>
      <c r="J436" s="62">
        <v>0</v>
      </c>
      <c r="L436" s="103" t="s">
        <v>12</v>
      </c>
      <c r="M436" s="103"/>
      <c r="N436" s="30">
        <f>SUM(N2:N434)</f>
        <v>177345874.12999991</v>
      </c>
      <c r="O436" s="139">
        <f>SUM(O2:O434)</f>
        <v>377</v>
      </c>
    </row>
    <row r="438" spans="1:15">
      <c r="I438" s="91">
        <f>SUM(I2:I436)</f>
        <v>177822123.3899999</v>
      </c>
      <c r="J438" s="140">
        <f>SUM(J2:J436)</f>
        <v>379.5</v>
      </c>
    </row>
  </sheetData>
  <autoFilter ref="A1:J436"/>
  <mergeCells count="1">
    <mergeCell ref="L17:O17"/>
  </mergeCells>
  <pageMargins left="0.51181102362204722" right="0.51181102362204722" top="0.78740157480314965" bottom="0.78740157480314965" header="0.31496062992125984" footer="0.31496062992125984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9" sqref="D19"/>
    </sheetView>
  </sheetViews>
  <sheetFormatPr defaultRowHeight="14.4"/>
  <sheetData/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C5" sqref="C5"/>
    </sheetView>
  </sheetViews>
  <sheetFormatPr defaultRowHeight="14.4"/>
  <cols>
    <col min="1" max="1" width="32" bestFit="1" customWidth="1"/>
    <col min="2" max="2" width="32" style="7" customWidth="1"/>
  </cols>
  <sheetData>
    <row r="1" s="7" customFormat="1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41"/>
  <sheetViews>
    <sheetView workbookViewId="0">
      <selection activeCell="D45" sqref="D45"/>
    </sheetView>
  </sheetViews>
  <sheetFormatPr defaultRowHeight="14.4"/>
  <cols>
    <col min="1" max="1" width="28.6640625" bestFit="1" customWidth="1"/>
    <col min="2" max="2" width="25" bestFit="1" customWidth="1"/>
    <col min="5" max="5" width="10.109375" bestFit="1" customWidth="1"/>
  </cols>
  <sheetData>
    <row r="1" spans="1:5" s="177" customFormat="1">
      <c r="A1" s="177" t="s">
        <v>11</v>
      </c>
      <c r="B1" s="177" t="s">
        <v>10</v>
      </c>
      <c r="C1" s="177" t="s">
        <v>480</v>
      </c>
      <c r="D1" s="177" t="s">
        <v>481</v>
      </c>
      <c r="E1" s="177" t="s">
        <v>482</v>
      </c>
    </row>
    <row r="2" spans="1:5" hidden="1">
      <c r="A2" s="180" t="s">
        <v>478</v>
      </c>
      <c r="B2" s="184" t="s">
        <v>472</v>
      </c>
      <c r="C2" s="184">
        <v>16</v>
      </c>
      <c r="D2" s="180" t="s">
        <v>476</v>
      </c>
      <c r="E2" s="181">
        <v>452144.63</v>
      </c>
    </row>
    <row r="3" spans="1:5" hidden="1">
      <c r="A3" s="180" t="s">
        <v>478</v>
      </c>
      <c r="B3" s="184" t="s">
        <v>472</v>
      </c>
      <c r="C3" s="184">
        <v>25</v>
      </c>
      <c r="D3" s="180" t="s">
        <v>476</v>
      </c>
      <c r="E3" s="181">
        <v>440000</v>
      </c>
    </row>
    <row r="4" spans="1:5" hidden="1">
      <c r="A4" s="180" t="s">
        <v>478</v>
      </c>
      <c r="B4" s="184" t="s">
        <v>472</v>
      </c>
      <c r="C4" s="184">
        <v>34</v>
      </c>
      <c r="D4" s="180" t="s">
        <v>476</v>
      </c>
      <c r="E4" s="181">
        <v>478100</v>
      </c>
    </row>
    <row r="5" spans="1:5">
      <c r="A5" s="180" t="s">
        <v>478</v>
      </c>
      <c r="B5" s="184" t="s">
        <v>472</v>
      </c>
      <c r="C5" s="184">
        <v>36</v>
      </c>
      <c r="D5" s="180" t="s">
        <v>475</v>
      </c>
      <c r="E5" s="181">
        <v>443431</v>
      </c>
    </row>
    <row r="6" spans="1:5" hidden="1">
      <c r="A6" s="180" t="s">
        <v>478</v>
      </c>
      <c r="B6" s="184" t="s">
        <v>472</v>
      </c>
      <c r="C6" s="184">
        <v>51</v>
      </c>
      <c r="D6" s="180" t="s">
        <v>477</v>
      </c>
      <c r="E6" s="181">
        <v>588000</v>
      </c>
    </row>
    <row r="7" spans="1:5" hidden="1">
      <c r="A7" s="180" t="s">
        <v>478</v>
      </c>
      <c r="B7" s="184" t="s">
        <v>472</v>
      </c>
      <c r="C7" s="184">
        <v>52</v>
      </c>
      <c r="D7" s="180" t="s">
        <v>476</v>
      </c>
      <c r="E7" s="181">
        <v>638003</v>
      </c>
    </row>
    <row r="8" spans="1:5" hidden="1">
      <c r="A8" s="180" t="s">
        <v>478</v>
      </c>
      <c r="B8" s="184" t="s">
        <v>472</v>
      </c>
      <c r="C8" s="184">
        <v>56</v>
      </c>
      <c r="D8" s="180" t="s">
        <v>476</v>
      </c>
      <c r="E8" s="181">
        <v>454900</v>
      </c>
    </row>
    <row r="9" spans="1:5">
      <c r="A9" s="180" t="s">
        <v>478</v>
      </c>
      <c r="B9" s="184" t="s">
        <v>472</v>
      </c>
      <c r="C9" s="184">
        <v>72</v>
      </c>
      <c r="D9" s="180" t="s">
        <v>475</v>
      </c>
      <c r="E9" s="181">
        <v>621036.80000000005</v>
      </c>
    </row>
    <row r="10" spans="1:5">
      <c r="A10" s="180" t="s">
        <v>478</v>
      </c>
      <c r="B10" s="184" t="s">
        <v>472</v>
      </c>
      <c r="C10" s="184">
        <v>74</v>
      </c>
      <c r="D10" s="180" t="s">
        <v>475</v>
      </c>
      <c r="E10" s="181">
        <v>487273.06</v>
      </c>
    </row>
    <row r="11" spans="1:5" hidden="1">
      <c r="A11" s="180" t="s">
        <v>478</v>
      </c>
      <c r="B11" s="184" t="s">
        <v>472</v>
      </c>
      <c r="C11" s="184">
        <v>82</v>
      </c>
      <c r="D11" s="180" t="s">
        <v>477</v>
      </c>
      <c r="E11" s="181">
        <v>655663.81999999995</v>
      </c>
    </row>
    <row r="12" spans="1:5" hidden="1">
      <c r="A12" s="180" t="s">
        <v>478</v>
      </c>
      <c r="B12" s="184" t="s">
        <v>472</v>
      </c>
      <c r="C12" s="184">
        <v>95</v>
      </c>
      <c r="D12" s="180" t="s">
        <v>477</v>
      </c>
      <c r="E12" s="181">
        <v>478253</v>
      </c>
    </row>
    <row r="13" spans="1:5" hidden="1">
      <c r="A13" s="180" t="s">
        <v>478</v>
      </c>
      <c r="B13" s="184" t="s">
        <v>472</v>
      </c>
      <c r="C13" s="184">
        <v>111</v>
      </c>
      <c r="D13" s="180" t="s">
        <v>477</v>
      </c>
      <c r="E13" s="181">
        <v>589701.34</v>
      </c>
    </row>
    <row r="14" spans="1:5">
      <c r="A14" s="180" t="s">
        <v>478</v>
      </c>
      <c r="B14" s="184" t="s">
        <v>472</v>
      </c>
      <c r="C14" s="184">
        <v>112</v>
      </c>
      <c r="D14" s="180" t="s">
        <v>475</v>
      </c>
      <c r="E14" s="181">
        <v>589000</v>
      </c>
    </row>
    <row r="15" spans="1:5">
      <c r="A15" s="180" t="s">
        <v>478</v>
      </c>
      <c r="B15" s="184" t="s">
        <v>471</v>
      </c>
      <c r="C15" s="176">
        <v>21</v>
      </c>
      <c r="D15" s="180" t="s">
        <v>475</v>
      </c>
      <c r="E15" s="181">
        <v>630837.04</v>
      </c>
    </row>
    <row r="16" spans="1:5" hidden="1">
      <c r="A16" s="180" t="s">
        <v>478</v>
      </c>
      <c r="B16" s="184" t="s">
        <v>471</v>
      </c>
      <c r="C16" s="184">
        <v>22</v>
      </c>
      <c r="D16" s="180" t="s">
        <v>477</v>
      </c>
      <c r="E16" s="181">
        <v>608214</v>
      </c>
    </row>
    <row r="17" spans="1:5" hidden="1">
      <c r="A17" s="180" t="s">
        <v>478</v>
      </c>
      <c r="B17" s="184" t="s">
        <v>471</v>
      </c>
      <c r="C17" s="184">
        <v>23</v>
      </c>
      <c r="D17" s="180" t="s">
        <v>476</v>
      </c>
      <c r="E17" s="181">
        <v>432990</v>
      </c>
    </row>
    <row r="18" spans="1:5" hidden="1">
      <c r="A18" s="180" t="s">
        <v>478</v>
      </c>
      <c r="B18" s="184" t="s">
        <v>471</v>
      </c>
      <c r="C18" s="184">
        <v>33</v>
      </c>
      <c r="D18" s="180" t="s">
        <v>477</v>
      </c>
      <c r="E18" s="181">
        <v>448000</v>
      </c>
    </row>
    <row r="19" spans="1:5" hidden="1">
      <c r="A19" s="180" t="s">
        <v>478</v>
      </c>
      <c r="B19" s="184" t="s">
        <v>471</v>
      </c>
      <c r="C19" s="184">
        <v>34</v>
      </c>
      <c r="D19" s="180" t="s">
        <v>476</v>
      </c>
      <c r="E19" s="181">
        <v>459122.64</v>
      </c>
    </row>
    <row r="20" spans="1:5" hidden="1">
      <c r="A20" s="180" t="s">
        <v>478</v>
      </c>
      <c r="B20" s="184" t="s">
        <v>471</v>
      </c>
      <c r="C20" s="184">
        <v>36</v>
      </c>
      <c r="D20" s="180" t="s">
        <v>476</v>
      </c>
      <c r="E20" s="181">
        <v>468106.28</v>
      </c>
    </row>
    <row r="21" spans="1:5" hidden="1">
      <c r="A21" s="180" t="s">
        <v>478</v>
      </c>
      <c r="B21" s="184" t="s">
        <v>471</v>
      </c>
      <c r="C21" s="184">
        <v>45</v>
      </c>
      <c r="D21" s="180" t="s">
        <v>476</v>
      </c>
      <c r="E21" s="181">
        <v>488240</v>
      </c>
    </row>
    <row r="22" spans="1:5" hidden="1">
      <c r="A22" s="180" t="s">
        <v>478</v>
      </c>
      <c r="B22" s="184" t="s">
        <v>471</v>
      </c>
      <c r="C22" s="184">
        <v>55</v>
      </c>
      <c r="D22" s="180" t="s">
        <v>477</v>
      </c>
      <c r="E22" s="181">
        <v>488346.26</v>
      </c>
    </row>
    <row r="23" spans="1:5">
      <c r="A23" s="180" t="s">
        <v>478</v>
      </c>
      <c r="B23" s="184" t="s">
        <v>471</v>
      </c>
      <c r="C23" s="184">
        <v>56</v>
      </c>
      <c r="D23" s="180" t="s">
        <v>475</v>
      </c>
      <c r="E23" s="181">
        <v>477551</v>
      </c>
    </row>
    <row r="24" spans="1:5">
      <c r="A24" s="180" t="s">
        <v>478</v>
      </c>
      <c r="B24" s="184" t="s">
        <v>471</v>
      </c>
      <c r="C24" s="184">
        <v>61</v>
      </c>
      <c r="D24" s="180" t="s">
        <v>475</v>
      </c>
      <c r="E24" s="181">
        <v>576600</v>
      </c>
    </row>
    <row r="25" spans="1:5" hidden="1">
      <c r="A25" s="180" t="s">
        <v>478</v>
      </c>
      <c r="B25" s="184" t="s">
        <v>471</v>
      </c>
      <c r="C25" s="184">
        <v>62</v>
      </c>
      <c r="D25" s="180" t="s">
        <v>477</v>
      </c>
      <c r="E25" s="181">
        <v>619000</v>
      </c>
    </row>
    <row r="26" spans="1:5" hidden="1">
      <c r="A26" s="180" t="s">
        <v>478</v>
      </c>
      <c r="B26" s="184" t="s">
        <v>471</v>
      </c>
      <c r="C26" s="184">
        <v>66</v>
      </c>
      <c r="D26" s="180" t="s">
        <v>477</v>
      </c>
      <c r="E26" s="181">
        <v>477548.79999999999</v>
      </c>
    </row>
    <row r="27" spans="1:5" hidden="1">
      <c r="A27" s="180" t="s">
        <v>478</v>
      </c>
      <c r="B27" s="184" t="s">
        <v>471</v>
      </c>
      <c r="C27" s="184">
        <v>71</v>
      </c>
      <c r="D27" s="180" t="s">
        <v>479</v>
      </c>
      <c r="E27" s="181">
        <v>581750</v>
      </c>
    </row>
    <row r="28" spans="1:5" hidden="1">
      <c r="A28" s="180" t="s">
        <v>478</v>
      </c>
      <c r="B28" s="184" t="s">
        <v>471</v>
      </c>
      <c r="C28" s="184">
        <v>72</v>
      </c>
      <c r="D28" s="180" t="s">
        <v>476</v>
      </c>
      <c r="E28" s="181">
        <v>619133.05000000005</v>
      </c>
    </row>
    <row r="29" spans="1:5" hidden="1">
      <c r="A29" s="180" t="s">
        <v>478</v>
      </c>
      <c r="B29" s="184" t="s">
        <v>471</v>
      </c>
      <c r="C29" s="184">
        <v>73</v>
      </c>
      <c r="D29" s="180" t="s">
        <v>477</v>
      </c>
      <c r="E29" s="181">
        <v>450000</v>
      </c>
    </row>
    <row r="30" spans="1:5">
      <c r="A30" s="180" t="s">
        <v>478</v>
      </c>
      <c r="B30" s="184" t="s">
        <v>471</v>
      </c>
      <c r="C30" s="176">
        <v>74</v>
      </c>
      <c r="D30" s="180" t="s">
        <v>475</v>
      </c>
      <c r="E30" s="181">
        <v>420000</v>
      </c>
    </row>
    <row r="31" spans="1:5" hidden="1">
      <c r="A31" s="180" t="s">
        <v>478</v>
      </c>
      <c r="B31" s="184" t="s">
        <v>471</v>
      </c>
      <c r="C31" s="184">
        <v>82</v>
      </c>
      <c r="D31" s="180" t="s">
        <v>477</v>
      </c>
      <c r="E31" s="181">
        <v>600000</v>
      </c>
    </row>
    <row r="32" spans="1:5" hidden="1">
      <c r="A32" s="180" t="s">
        <v>478</v>
      </c>
      <c r="B32" s="184" t="s">
        <v>471</v>
      </c>
      <c r="C32" s="184">
        <v>93</v>
      </c>
      <c r="D32" s="180" t="s">
        <v>477</v>
      </c>
      <c r="E32" s="181">
        <v>458000</v>
      </c>
    </row>
    <row r="33" spans="1:5" hidden="1">
      <c r="A33" s="180" t="s">
        <v>478</v>
      </c>
      <c r="B33" s="184" t="s">
        <v>471</v>
      </c>
      <c r="C33" s="184">
        <v>94</v>
      </c>
      <c r="D33" s="180" t="s">
        <v>476</v>
      </c>
      <c r="E33" s="181">
        <v>476289.2</v>
      </c>
    </row>
    <row r="34" spans="1:5">
      <c r="A34" s="180" t="s">
        <v>478</v>
      </c>
      <c r="B34" s="184" t="s">
        <v>471</v>
      </c>
      <c r="C34" s="176">
        <v>96</v>
      </c>
      <c r="D34" s="180" t="s">
        <v>475</v>
      </c>
      <c r="E34" s="181">
        <v>487294.81</v>
      </c>
    </row>
    <row r="35" spans="1:5" hidden="1">
      <c r="A35" s="180" t="s">
        <v>478</v>
      </c>
      <c r="B35" s="184" t="s">
        <v>471</v>
      </c>
      <c r="C35" s="184">
        <v>112</v>
      </c>
      <c r="D35" s="180" t="s">
        <v>477</v>
      </c>
      <c r="E35" s="181">
        <v>600000</v>
      </c>
    </row>
    <row r="36" spans="1:5" hidden="1">
      <c r="A36" s="180" t="s">
        <v>478</v>
      </c>
      <c r="B36" s="184" t="s">
        <v>471</v>
      </c>
      <c r="C36" s="184">
        <v>162</v>
      </c>
      <c r="D36" s="180" t="s">
        <v>477</v>
      </c>
      <c r="E36" s="181">
        <v>614100</v>
      </c>
    </row>
    <row r="37" spans="1:5">
      <c r="A37" s="180" t="s">
        <v>478</v>
      </c>
      <c r="B37" s="184" t="s">
        <v>471</v>
      </c>
      <c r="C37" s="184">
        <v>185</v>
      </c>
      <c r="D37" s="180" t="s">
        <v>475</v>
      </c>
      <c r="E37" s="181">
        <v>506646.17</v>
      </c>
    </row>
    <row r="38" spans="1:5">
      <c r="A38" s="180" t="s">
        <v>478</v>
      </c>
      <c r="B38" s="184" t="s">
        <v>472</v>
      </c>
      <c r="C38" s="176">
        <v>62</v>
      </c>
      <c r="D38" s="180" t="s">
        <v>475</v>
      </c>
      <c r="E38" s="181">
        <v>615939</v>
      </c>
    </row>
    <row r="39" spans="1:5" hidden="1">
      <c r="A39" s="180" t="s">
        <v>478</v>
      </c>
      <c r="B39" s="184" t="s">
        <v>471</v>
      </c>
      <c r="C39" s="184">
        <v>111</v>
      </c>
      <c r="D39" s="180" t="s">
        <v>477</v>
      </c>
      <c r="E39" s="181">
        <v>611604</v>
      </c>
    </row>
    <row r="40" spans="1:5" hidden="1">
      <c r="A40" s="180" t="s">
        <v>478</v>
      </c>
      <c r="B40" s="184" t="s">
        <v>472</v>
      </c>
      <c r="C40" s="184">
        <v>45</v>
      </c>
      <c r="D40" s="180" t="s">
        <v>476</v>
      </c>
      <c r="E40" s="181">
        <v>468000</v>
      </c>
    </row>
    <row r="41" spans="1:5" hidden="1">
      <c r="A41" s="180" t="s">
        <v>478</v>
      </c>
      <c r="B41" s="184" t="s">
        <v>471</v>
      </c>
      <c r="C41" s="184">
        <v>44</v>
      </c>
      <c r="D41" s="180" t="s">
        <v>476</v>
      </c>
      <c r="E41" s="181">
        <v>435044</v>
      </c>
    </row>
  </sheetData>
  <autoFilter ref="A1:E41">
    <filterColumn colId="3">
      <filters>
        <filter val="Access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D25" sqref="D25"/>
    </sheetView>
  </sheetViews>
  <sheetFormatPr defaultRowHeight="14.4"/>
  <cols>
    <col min="1" max="1" width="9.109375" style="205"/>
    <col min="2" max="2" width="11.5546875" bestFit="1" customWidth="1"/>
    <col min="3" max="3" width="11.5546875" style="205" customWidth="1"/>
    <col min="4" max="4" width="13.88671875" style="205" bestFit="1" customWidth="1"/>
    <col min="5" max="5" width="11.109375" bestFit="1" customWidth="1"/>
    <col min="6" max="6" width="11.109375" style="205" customWidth="1"/>
    <col min="7" max="7" width="13.88671875" style="205" bestFit="1" customWidth="1"/>
    <col min="8" max="8" width="24.88671875" bestFit="1" customWidth="1"/>
    <col min="11" max="11" width="11.5546875" bestFit="1" customWidth="1"/>
    <col min="12" max="12" width="11.109375" bestFit="1" customWidth="1"/>
    <col min="13" max="13" width="24.88671875" bestFit="1" customWidth="1"/>
  </cols>
  <sheetData>
    <row r="1" spans="2:11" ht="15" thickBot="1">
      <c r="B1" s="203"/>
    </row>
    <row r="2" spans="2:11">
      <c r="B2" s="290" t="s">
        <v>522</v>
      </c>
      <c r="C2" s="291"/>
      <c r="D2" s="291"/>
      <c r="E2" s="292"/>
      <c r="F2" s="292"/>
      <c r="G2" s="292"/>
      <c r="H2" s="292"/>
      <c r="I2" s="293"/>
      <c r="J2" s="205"/>
    </row>
    <row r="3" spans="2:11" ht="15" thickBot="1">
      <c r="B3" s="294"/>
      <c r="C3" s="295"/>
      <c r="D3" s="295"/>
      <c r="E3" s="296"/>
      <c r="F3" s="296"/>
      <c r="G3" s="296"/>
      <c r="H3" s="296"/>
      <c r="I3" s="297"/>
      <c r="J3" s="206"/>
    </row>
    <row r="4" spans="2:11" ht="15" thickBot="1">
      <c r="B4" s="212">
        <v>2013</v>
      </c>
      <c r="C4" s="229" t="s">
        <v>339</v>
      </c>
      <c r="D4" s="229" t="s">
        <v>340</v>
      </c>
      <c r="E4" s="213" t="s">
        <v>523</v>
      </c>
      <c r="F4" s="229" t="s">
        <v>339</v>
      </c>
      <c r="G4" s="229" t="s">
        <v>340</v>
      </c>
      <c r="H4" s="213" t="s">
        <v>524</v>
      </c>
      <c r="I4" s="214" t="s">
        <v>525</v>
      </c>
      <c r="J4" s="205"/>
    </row>
    <row r="5" spans="2:11">
      <c r="B5" s="210" t="s">
        <v>533</v>
      </c>
      <c r="C5" s="216">
        <v>9996156.7000000011</v>
      </c>
      <c r="D5" s="231">
        <v>0</v>
      </c>
      <c r="E5" s="216">
        <v>9996156.7000000011</v>
      </c>
      <c r="F5" s="217">
        <v>4866993.88</v>
      </c>
      <c r="G5" s="216">
        <v>0</v>
      </c>
      <c r="H5" s="219">
        <v>14863150.58</v>
      </c>
      <c r="I5" s="211">
        <f>E5/H5</f>
        <v>0.67254628459802634</v>
      </c>
      <c r="J5" s="205"/>
      <c r="K5" s="198"/>
    </row>
    <row r="6" spans="2:11">
      <c r="B6" s="208" t="s">
        <v>534</v>
      </c>
      <c r="C6" s="217">
        <v>12780414.57</v>
      </c>
      <c r="D6" s="232">
        <v>0</v>
      </c>
      <c r="E6" s="217">
        <v>12780414.57</v>
      </c>
      <c r="F6" s="217">
        <v>712569</v>
      </c>
      <c r="G6" s="217">
        <v>0</v>
      </c>
      <c r="H6" s="220">
        <v>13492984</v>
      </c>
      <c r="I6" s="211">
        <f t="shared" ref="I6:I16" si="0">E6/H6</f>
        <v>0.94718963351620367</v>
      </c>
      <c r="J6" s="205"/>
      <c r="K6" s="198"/>
    </row>
    <row r="7" spans="2:11">
      <c r="B7" s="208" t="s">
        <v>535</v>
      </c>
      <c r="C7" s="232">
        <v>15396930.01</v>
      </c>
      <c r="D7" s="232">
        <f>E7-C7</f>
        <v>41606174.100000001</v>
      </c>
      <c r="E7" s="217">
        <v>57003104.109999999</v>
      </c>
      <c r="F7" s="217">
        <v>1438212.34</v>
      </c>
      <c r="G7" s="217">
        <f>H7-F7-E7</f>
        <v>33033556.289999992</v>
      </c>
      <c r="H7" s="220">
        <v>91474872.739999995</v>
      </c>
      <c r="I7" s="211">
        <f t="shared" si="0"/>
        <v>0.62315587223630831</v>
      </c>
      <c r="J7" s="205"/>
      <c r="K7" s="198"/>
    </row>
    <row r="8" spans="2:11">
      <c r="B8" s="208" t="s">
        <v>536</v>
      </c>
      <c r="C8" s="217">
        <v>19936067.27</v>
      </c>
      <c r="D8" s="232">
        <v>0</v>
      </c>
      <c r="E8" s="217">
        <v>19936067.27</v>
      </c>
      <c r="F8" s="217">
        <v>6211984.7199999997</v>
      </c>
      <c r="G8" s="217">
        <v>0</v>
      </c>
      <c r="H8" s="221">
        <v>26148051.989999998</v>
      </c>
      <c r="I8" s="211">
        <f t="shared" si="0"/>
        <v>0.76243030561604752</v>
      </c>
      <c r="J8" s="205"/>
      <c r="K8" s="198"/>
    </row>
    <row r="9" spans="2:11">
      <c r="B9" s="208" t="s">
        <v>537</v>
      </c>
      <c r="C9" s="232">
        <f>E9-D9</f>
        <v>15831275.289999999</v>
      </c>
      <c r="D9" s="232">
        <v>51111706.329999998</v>
      </c>
      <c r="E9" s="217">
        <v>66942981.619999997</v>
      </c>
      <c r="F9" s="217">
        <v>2475497.4300000002</v>
      </c>
      <c r="G9" s="217">
        <f>H9-F9-E9</f>
        <v>58144375.07</v>
      </c>
      <c r="H9" s="222">
        <v>127562854.12</v>
      </c>
      <c r="I9" s="211">
        <f t="shared" si="0"/>
        <v>0.52478428835580837</v>
      </c>
      <c r="J9" s="205"/>
      <c r="K9" s="198"/>
    </row>
    <row r="10" spans="2:11">
      <c r="B10" s="208" t="s">
        <v>538</v>
      </c>
      <c r="C10" s="232">
        <v>8078303.0199999996</v>
      </c>
      <c r="D10" s="232">
        <f>E10-C10</f>
        <v>37019845.260000005</v>
      </c>
      <c r="E10" s="217">
        <v>45098148.280000001</v>
      </c>
      <c r="F10" s="217">
        <v>3288958</v>
      </c>
      <c r="G10" s="217">
        <f>H10-F10-E10</f>
        <v>30215894.129999995</v>
      </c>
      <c r="H10" s="222">
        <v>78603000.409999996</v>
      </c>
      <c r="I10" s="211">
        <f t="shared" si="0"/>
        <v>0.57374588813104066</v>
      </c>
      <c r="J10" s="205"/>
      <c r="K10" s="198"/>
    </row>
    <row r="11" spans="2:11">
      <c r="B11" s="208" t="s">
        <v>526</v>
      </c>
      <c r="C11" s="232">
        <v>9030586.6099999994</v>
      </c>
      <c r="D11" s="232">
        <v>14785919.890000001</v>
      </c>
      <c r="E11" s="217">
        <v>23846506.52</v>
      </c>
      <c r="F11" s="217">
        <v>244000</v>
      </c>
      <c r="G11" s="217">
        <v>8470597.5299999993</v>
      </c>
      <c r="H11" s="222">
        <v>32531104.030000001</v>
      </c>
      <c r="I11" s="211">
        <f t="shared" si="0"/>
        <v>0.73303711112936365</v>
      </c>
      <c r="J11" s="205"/>
      <c r="K11" s="198"/>
    </row>
    <row r="12" spans="2:11">
      <c r="B12" s="208" t="s">
        <v>527</v>
      </c>
      <c r="C12" s="232">
        <v>11912302.810000001</v>
      </c>
      <c r="D12" s="232">
        <f>E12-C12</f>
        <v>17735700.649999999</v>
      </c>
      <c r="E12" s="217">
        <v>29648003.460000001</v>
      </c>
      <c r="F12" s="232">
        <v>4930827.79</v>
      </c>
      <c r="G12" s="232">
        <f>H12-F12-E12</f>
        <v>13950252.770000003</v>
      </c>
      <c r="H12" s="222">
        <v>48529084.020000003</v>
      </c>
      <c r="I12" s="211">
        <f t="shared" si="0"/>
        <v>0.61093268209598484</v>
      </c>
      <c r="J12" s="205"/>
      <c r="K12" s="198"/>
    </row>
    <row r="13" spans="2:11">
      <c r="B13" s="208" t="s">
        <v>528</v>
      </c>
      <c r="C13" s="232">
        <v>11039390.73</v>
      </c>
      <c r="D13" s="232">
        <v>4892252.47</v>
      </c>
      <c r="E13" s="217">
        <v>15931643.200000001</v>
      </c>
      <c r="F13" s="217">
        <v>606000</v>
      </c>
      <c r="G13" s="217">
        <v>2513596.7999999998</v>
      </c>
      <c r="H13" s="222">
        <v>19051240</v>
      </c>
      <c r="I13" s="211">
        <f t="shared" si="0"/>
        <v>0.83625229643844712</v>
      </c>
      <c r="J13" s="205"/>
      <c r="K13" s="198"/>
    </row>
    <row r="14" spans="2:11">
      <c r="B14" s="208" t="s">
        <v>529</v>
      </c>
      <c r="C14" s="232">
        <f>E14-D14</f>
        <v>17244753.280000001</v>
      </c>
      <c r="D14" s="232">
        <v>5339522.25</v>
      </c>
      <c r="E14" s="217">
        <v>22584275.530000001</v>
      </c>
      <c r="F14" s="217">
        <v>546960.51</v>
      </c>
      <c r="G14" s="217">
        <f>H14-F14-E14</f>
        <v>7404048.4099999964</v>
      </c>
      <c r="H14" s="221">
        <v>30535284.449999999</v>
      </c>
      <c r="I14" s="211">
        <f t="shared" si="0"/>
        <v>0.73961241680851619</v>
      </c>
      <c r="J14" s="205"/>
      <c r="K14" s="198"/>
    </row>
    <row r="15" spans="2:11">
      <c r="B15" s="208" t="s">
        <v>530</v>
      </c>
      <c r="C15" s="232">
        <v>10075266.16</v>
      </c>
      <c r="D15" s="232">
        <v>60985348.729999997</v>
      </c>
      <c r="E15" s="217">
        <v>71060614.879999995</v>
      </c>
      <c r="F15" s="217">
        <v>0</v>
      </c>
      <c r="G15" s="217">
        <f>H15-E15</f>
        <v>65428920.110000014</v>
      </c>
      <c r="H15" s="221">
        <v>136489534.99000001</v>
      </c>
      <c r="I15" s="211">
        <f t="shared" si="0"/>
        <v>0.52063050024462532</v>
      </c>
      <c r="J15" s="205"/>
      <c r="K15" s="198"/>
    </row>
    <row r="16" spans="2:11" ht="15" thickBot="1">
      <c r="B16" s="209" t="s">
        <v>531</v>
      </c>
      <c r="C16" s="233">
        <v>5391105.2699999996</v>
      </c>
      <c r="D16" s="233">
        <v>9993861.0899999999</v>
      </c>
      <c r="E16" s="217">
        <v>15384966.359999999</v>
      </c>
      <c r="F16" s="216">
        <v>2612815.4900000002</v>
      </c>
      <c r="G16" s="216">
        <v>11288163.279999999</v>
      </c>
      <c r="H16" s="223">
        <v>29285945.129999999</v>
      </c>
      <c r="I16" s="211">
        <f t="shared" si="0"/>
        <v>0.52533617377572406</v>
      </c>
      <c r="J16" s="205"/>
      <c r="K16" s="198"/>
    </row>
    <row r="17" spans="2:10" ht="15" thickBot="1">
      <c r="B17" s="207" t="s">
        <v>108</v>
      </c>
      <c r="C17" s="230"/>
      <c r="D17" s="230"/>
      <c r="E17" s="218">
        <v>390212882.5</v>
      </c>
      <c r="F17" s="218"/>
      <c r="G17" s="218"/>
      <c r="H17" s="224">
        <v>651096716.96999991</v>
      </c>
      <c r="I17" s="215">
        <f>E17/H17</f>
        <v>0.5993163109713231</v>
      </c>
      <c r="J17" s="205"/>
    </row>
    <row r="18" spans="2:10" s="205" customFormat="1">
      <c r="B18" s="225"/>
      <c r="C18" s="225"/>
      <c r="D18" s="225"/>
      <c r="E18" s="226"/>
      <c r="F18" s="226"/>
      <c r="G18" s="226"/>
      <c r="H18" s="227"/>
      <c r="I18" s="228"/>
    </row>
    <row r="19" spans="2:10" s="205" customFormat="1">
      <c r="B19" s="225"/>
      <c r="C19" s="225"/>
      <c r="D19" s="225"/>
      <c r="E19" s="226"/>
      <c r="F19" s="226"/>
      <c r="G19" s="226"/>
      <c r="H19" s="227"/>
      <c r="I19" s="228"/>
    </row>
  </sheetData>
  <mergeCells count="1">
    <mergeCell ref="B2:I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Ranking - Total Anual</vt:lpstr>
      <vt:lpstr>Gerente - Mensal </vt:lpstr>
      <vt:lpstr>Corretor - Mensal</vt:lpstr>
      <vt:lpstr>Coord. Mac e Cia</vt:lpstr>
      <vt:lpstr>Plan10</vt:lpstr>
      <vt:lpstr>Novo Ranking 2013 E 2014</vt:lpstr>
      <vt:lpstr>mensal</vt:lpstr>
      <vt:lpstr>Plan4</vt:lpstr>
      <vt:lpstr>Plan5</vt:lpstr>
      <vt:lpstr>Plan9</vt:lpstr>
      <vt:lpstr>Ranking 2º semestre</vt:lpstr>
      <vt:lpstr>Acumulado dos Corretores</vt:lpstr>
      <vt:lpstr>Plan1</vt:lpstr>
      <vt:lpstr>Plan2</vt:lpstr>
      <vt:lpstr>Acumulado dos Gerentes</vt:lpstr>
      <vt:lpstr>Plan3</vt:lpstr>
      <vt:lpstr>Plan6</vt:lpstr>
      <vt:lpstr>Plan7</vt:lpstr>
      <vt:lpstr>Plan8</vt:lpstr>
      <vt:lpstr>Share 2013</vt:lpstr>
    </vt:vector>
  </TitlesOfParts>
  <Company>MAC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marianac</dc:creator>
  <cp:lastModifiedBy>Bruno</cp:lastModifiedBy>
  <cp:lastPrinted>2014-01-30T14:10:32Z</cp:lastPrinted>
  <dcterms:created xsi:type="dcterms:W3CDTF">2011-12-12T14:57:51Z</dcterms:created>
  <dcterms:modified xsi:type="dcterms:W3CDTF">2014-02-17T19:57:02Z</dcterms:modified>
</cp:coreProperties>
</file>