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-12" windowWidth="22632" windowHeight="12144" firstSheet="5" activeTab="11"/>
  </bookViews>
  <sheets>
    <sheet name="Ranking - Total Anual" sheetId="1" state="hidden" r:id="rId1"/>
    <sheet name="Gerente - Mensal " sheetId="2" state="hidden" r:id="rId2"/>
    <sheet name="Corretor - Mensal" sheetId="3" state="hidden" r:id="rId3"/>
    <sheet name="Coord. Mac e Cia" sheetId="4" state="hidden" r:id="rId4"/>
    <sheet name="Plan10" sheetId="24" state="hidden" r:id="rId5"/>
    <sheet name="Novo Ranking 2013 E 2014" sheetId="13" r:id="rId6"/>
    <sheet name="mensal" sheetId="14" state="hidden" r:id="rId7"/>
    <sheet name="Plan4" sheetId="15" state="hidden" r:id="rId8"/>
    <sheet name="Plan5" sheetId="16" state="hidden" r:id="rId9"/>
    <sheet name="Plan9" sheetId="20" state="hidden" r:id="rId10"/>
    <sheet name="Ranking 2º semestre" sheetId="22" state="hidden" r:id="rId11"/>
    <sheet name="Acumulado dos Corretores" sheetId="5" r:id="rId12"/>
    <sheet name="Plan1" sheetId="6" state="hidden" r:id="rId13"/>
    <sheet name="Plan2" sheetId="7" state="hidden" r:id="rId14"/>
    <sheet name="Acumulado dos Gerentes" sheetId="11" state="hidden" r:id="rId15"/>
    <sheet name="Plan3" sheetId="10" state="hidden" r:id="rId16"/>
    <sheet name="Plan6" sheetId="17" state="hidden" r:id="rId17"/>
    <sheet name="Plan7" sheetId="18" state="hidden" r:id="rId18"/>
    <sheet name="Plan8" sheetId="19" state="hidden" r:id="rId19"/>
    <sheet name="Share 2013" sheetId="23" state="hidden" r:id="rId20"/>
  </sheets>
  <definedNames>
    <definedName name="_xlnm._FilterDatabase" localSheetId="11" hidden="1">'Acumulado dos Corretores'!$A$1:$J$1</definedName>
    <definedName name="_xlnm._FilterDatabase" localSheetId="14" hidden="1">'Acumulado dos Gerentes'!$A$1:$J$436</definedName>
    <definedName name="_xlnm._FilterDatabase" localSheetId="3" hidden="1">'Coord. Mac e Cia'!$A$1:$I$1</definedName>
    <definedName name="_xlnm._FilterDatabase" localSheetId="2" hidden="1">'Corretor - Mensal'!$K$3:$M$3</definedName>
    <definedName name="_xlnm._FilterDatabase" localSheetId="1" hidden="1">'Gerente - Mensal '!$A$2:$I$2</definedName>
    <definedName name="_xlnm._FilterDatabase" localSheetId="13" hidden="1">Plan2!$A$1:$I$1</definedName>
    <definedName name="_xlnm._FilterDatabase" localSheetId="17" hidden="1">Plan7!#REF!</definedName>
    <definedName name="_xlnm._FilterDatabase" localSheetId="18" hidden="1">Plan8!$A$1:$E$41</definedName>
    <definedName name="_xlnm._FilterDatabase" localSheetId="0" hidden="1">'Ranking - Total Anual'!$G$5:$J$5</definedName>
  </definedNames>
  <calcPr calcId="145621"/>
  <pivotCaches>
    <pivotCache cacheId="22" r:id="rId21"/>
  </pivotCaches>
</workbook>
</file>

<file path=xl/calcChain.xml><?xml version="1.0" encoding="utf-8"?>
<calcChain xmlns="http://schemas.openxmlformats.org/spreadsheetml/2006/main">
  <c r="K24" i="5" l="1"/>
  <c r="L24" i="5"/>
  <c r="K23" i="5"/>
  <c r="L23" i="5"/>
  <c r="K22" i="5"/>
  <c r="L22" i="5"/>
  <c r="L21" i="5"/>
  <c r="K21" i="5"/>
  <c r="I21" i="5"/>
  <c r="I20" i="5"/>
  <c r="K20" i="5"/>
  <c r="L20" i="5"/>
  <c r="K19" i="5" l="1"/>
  <c r="L19" i="5"/>
  <c r="K18" i="5"/>
  <c r="L18" i="5"/>
  <c r="K17" i="5"/>
  <c r="L17" i="5"/>
  <c r="K15" i="5" l="1"/>
  <c r="L15" i="5"/>
  <c r="K16" i="5"/>
  <c r="L16" i="5"/>
  <c r="L13" i="5" l="1"/>
  <c r="K13" i="5"/>
  <c r="I13" i="5"/>
  <c r="I12" i="5"/>
  <c r="K12" i="5"/>
  <c r="L12" i="5"/>
  <c r="K14" i="5"/>
  <c r="L14" i="5"/>
  <c r="K10" i="5"/>
  <c r="L10" i="5"/>
  <c r="K11" i="5"/>
  <c r="L11" i="5"/>
  <c r="K7" i="5" l="1"/>
  <c r="L7" i="5"/>
  <c r="K8" i="5"/>
  <c r="L8" i="5"/>
  <c r="K9" i="5"/>
  <c r="L9" i="5"/>
  <c r="K5" i="5" l="1"/>
  <c r="L5" i="5"/>
  <c r="K6" i="5"/>
  <c r="L6" i="5"/>
  <c r="K3" i="5" l="1"/>
  <c r="L3" i="5"/>
  <c r="K4" i="5"/>
  <c r="L4" i="5"/>
  <c r="K2" i="5" l="1"/>
  <c r="L2" i="5"/>
  <c r="I17" i="23" l="1"/>
  <c r="I5" i="23"/>
  <c r="I6" i="23"/>
  <c r="I7" i="23"/>
  <c r="I8" i="23"/>
  <c r="I9" i="23"/>
  <c r="I10" i="23"/>
  <c r="I11" i="23"/>
  <c r="I12" i="23"/>
  <c r="I13" i="23"/>
  <c r="I14" i="23"/>
  <c r="I15" i="23"/>
  <c r="I16" i="23"/>
  <c r="G15" i="23" l="1"/>
  <c r="G14" i="23"/>
  <c r="C14" i="23"/>
  <c r="G12" i="23"/>
  <c r="D12" i="23"/>
  <c r="G10" i="23"/>
  <c r="D10" i="23"/>
  <c r="G9" i="23"/>
  <c r="C9" i="23"/>
  <c r="G7" i="23"/>
  <c r="D7" i="23"/>
  <c r="S6" i="11" l="1"/>
  <c r="D9" i="1" s="1"/>
  <c r="T7" i="11"/>
  <c r="E10" i="1" s="1"/>
  <c r="T10" i="11"/>
  <c r="E13" i="1" s="1"/>
  <c r="T4" i="11"/>
  <c r="E7" i="1" s="1"/>
  <c r="T9" i="11"/>
  <c r="E12" i="1" s="1"/>
  <c r="T3" i="11"/>
  <c r="E6" i="1" s="1"/>
  <c r="S5" i="11"/>
  <c r="D8" i="1" s="1"/>
  <c r="S8" i="11"/>
  <c r="D11" i="1" s="1"/>
  <c r="S3" i="11"/>
  <c r="D6" i="1" s="1"/>
  <c r="S9" i="11"/>
  <c r="D12" i="1" s="1"/>
  <c r="S4" i="11"/>
  <c r="D7" i="1" s="1"/>
  <c r="S10" i="11"/>
  <c r="D13" i="1" s="1"/>
  <c r="S7" i="11"/>
  <c r="D10" i="1" s="1"/>
  <c r="J438" i="11"/>
  <c r="O434" i="11"/>
  <c r="N434" i="11"/>
  <c r="L434" i="11"/>
  <c r="G98" i="11"/>
  <c r="O431" i="11"/>
  <c r="N431" i="11"/>
  <c r="L431" i="11"/>
  <c r="O430" i="11"/>
  <c r="N430" i="11"/>
  <c r="L430" i="11"/>
  <c r="G294" i="11"/>
  <c r="H294" i="11" s="1"/>
  <c r="G293" i="11"/>
  <c r="H293" i="11" s="1"/>
  <c r="O428" i="11"/>
  <c r="N428" i="11"/>
  <c r="L428" i="11"/>
  <c r="G58" i="11"/>
  <c r="O424" i="11"/>
  <c r="N424" i="11"/>
  <c r="L424" i="11"/>
  <c r="O423" i="11"/>
  <c r="N423" i="11"/>
  <c r="L423" i="11"/>
  <c r="H97" i="11"/>
  <c r="G97" i="11"/>
  <c r="O419" i="11"/>
  <c r="N419" i="11"/>
  <c r="L419" i="11"/>
  <c r="G186" i="11"/>
  <c r="G185" i="11"/>
  <c r="G183" i="11"/>
  <c r="O414" i="11"/>
  <c r="N414" i="11"/>
  <c r="L414" i="11"/>
  <c r="I54" i="11"/>
  <c r="G54" i="11"/>
  <c r="O412" i="11"/>
  <c r="N412" i="11"/>
  <c r="L412" i="11"/>
  <c r="O411" i="11"/>
  <c r="N411" i="11"/>
  <c r="L411" i="11"/>
  <c r="G292" i="11"/>
  <c r="G291" i="11"/>
  <c r="G290" i="11"/>
  <c r="H289" i="11"/>
  <c r="O407" i="11"/>
  <c r="N407" i="11"/>
  <c r="L407" i="11"/>
  <c r="O404" i="11"/>
  <c r="N404" i="11"/>
  <c r="L404" i="11"/>
  <c r="G179" i="11"/>
  <c r="O398" i="11"/>
  <c r="N398" i="11"/>
  <c r="L398" i="11"/>
  <c r="O397" i="11"/>
  <c r="N397" i="11"/>
  <c r="L397" i="11"/>
  <c r="O394" i="11"/>
  <c r="L394" i="11"/>
  <c r="O393" i="11"/>
  <c r="N393" i="11"/>
  <c r="L393" i="11"/>
  <c r="O389" i="11"/>
  <c r="N389" i="11"/>
  <c r="L389" i="11"/>
  <c r="O387" i="11"/>
  <c r="L387" i="11"/>
  <c r="O385" i="11"/>
  <c r="N385" i="11"/>
  <c r="L385" i="11"/>
  <c r="O381" i="11"/>
  <c r="N381" i="11"/>
  <c r="L381" i="11"/>
  <c r="G47" i="11"/>
  <c r="O378" i="11"/>
  <c r="N378" i="11"/>
  <c r="L378" i="11"/>
  <c r="G368" i="11"/>
  <c r="O376" i="11"/>
  <c r="N376" i="11"/>
  <c r="L376" i="11"/>
  <c r="G220" i="11"/>
  <c r="O375" i="11"/>
  <c r="N375" i="11"/>
  <c r="L375" i="11"/>
  <c r="O372" i="11"/>
  <c r="N372" i="11"/>
  <c r="L372" i="11"/>
  <c r="O368" i="11"/>
  <c r="N368" i="11"/>
  <c r="L368" i="11"/>
  <c r="G215" i="11"/>
  <c r="O361" i="11"/>
  <c r="N361" i="11"/>
  <c r="L361" i="11"/>
  <c r="O357" i="11"/>
  <c r="N357" i="11"/>
  <c r="L357" i="11"/>
  <c r="O354" i="11"/>
  <c r="N354" i="11"/>
  <c r="L354" i="11"/>
  <c r="O353" i="11"/>
  <c r="N353" i="11"/>
  <c r="L353" i="11"/>
  <c r="O351" i="11"/>
  <c r="N351" i="11"/>
  <c r="L351" i="11"/>
  <c r="O350" i="11"/>
  <c r="N350" i="11"/>
  <c r="L350" i="11"/>
  <c r="O342" i="11"/>
  <c r="N342" i="11"/>
  <c r="L342" i="11"/>
  <c r="O341" i="11"/>
  <c r="N341" i="11"/>
  <c r="L341" i="11"/>
  <c r="H353" i="11"/>
  <c r="O329" i="11"/>
  <c r="N329" i="11"/>
  <c r="L329" i="11"/>
  <c r="G40" i="11"/>
  <c r="O327" i="11"/>
  <c r="N327" i="11"/>
  <c r="L327" i="11"/>
  <c r="O326" i="11"/>
  <c r="N326" i="11"/>
  <c r="L326" i="11"/>
  <c r="G82" i="11"/>
  <c r="G306" i="11"/>
  <c r="H306" i="11" s="1"/>
  <c r="O321" i="11"/>
  <c r="N321" i="11"/>
  <c r="L321" i="11"/>
  <c r="H39" i="11"/>
  <c r="G39" i="11"/>
  <c r="H37" i="11"/>
  <c r="O318" i="11"/>
  <c r="N318" i="11"/>
  <c r="L318" i="11"/>
  <c r="G279" i="11"/>
  <c r="O309" i="11"/>
  <c r="N309" i="11"/>
  <c r="L309" i="11"/>
  <c r="O307" i="11"/>
  <c r="N307" i="11"/>
  <c r="L307" i="11"/>
  <c r="H277" i="11"/>
  <c r="G277" i="11"/>
  <c r="O304" i="11"/>
  <c r="N304" i="11"/>
  <c r="L304" i="11"/>
  <c r="O303" i="11"/>
  <c r="N303" i="11"/>
  <c r="L303" i="11"/>
  <c r="G427" i="11"/>
  <c r="H427" i="11" s="1"/>
  <c r="O301" i="11"/>
  <c r="N301" i="11"/>
  <c r="L301" i="11"/>
  <c r="G424" i="11"/>
  <c r="G423" i="11"/>
  <c r="G422" i="11"/>
  <c r="G421" i="11"/>
  <c r="G420" i="11"/>
  <c r="H420" i="11" s="1"/>
  <c r="H418" i="11"/>
  <c r="H417" i="11"/>
  <c r="O292" i="11"/>
  <c r="N292" i="11"/>
  <c r="L292" i="11"/>
  <c r="G274" i="11"/>
  <c r="G273" i="11"/>
  <c r="G272" i="11"/>
  <c r="O289" i="11"/>
  <c r="N289" i="11"/>
  <c r="L289" i="11"/>
  <c r="O287" i="11"/>
  <c r="N287" i="11"/>
  <c r="L287" i="11"/>
  <c r="G31" i="11"/>
  <c r="O280" i="11"/>
  <c r="N280" i="11"/>
  <c r="L280" i="11"/>
  <c r="O279" i="11"/>
  <c r="N279" i="11"/>
  <c r="L279" i="11"/>
  <c r="G166" i="11"/>
  <c r="G165" i="11"/>
  <c r="G164" i="11"/>
  <c r="H164" i="11" s="1"/>
  <c r="O273" i="11"/>
  <c r="N273" i="11"/>
  <c r="L273" i="11"/>
  <c r="O269" i="11"/>
  <c r="N269" i="11"/>
  <c r="L269" i="11"/>
  <c r="O267" i="11"/>
  <c r="N267" i="11"/>
  <c r="L267" i="11"/>
  <c r="H410" i="11"/>
  <c r="O260" i="11"/>
  <c r="N260" i="11"/>
  <c r="L260" i="11"/>
  <c r="O259" i="11"/>
  <c r="N259" i="11"/>
  <c r="L259" i="11"/>
  <c r="O253" i="11"/>
  <c r="N253" i="11"/>
  <c r="L253" i="11"/>
  <c r="O250" i="11"/>
  <c r="N250" i="11"/>
  <c r="L250" i="11"/>
  <c r="O245" i="11"/>
  <c r="N245" i="11"/>
  <c r="L245" i="11"/>
  <c r="O244" i="11"/>
  <c r="N244" i="11"/>
  <c r="L244" i="11"/>
  <c r="O239" i="11"/>
  <c r="N239" i="11"/>
  <c r="L239" i="11"/>
  <c r="O237" i="11"/>
  <c r="N237" i="11"/>
  <c r="L237" i="11"/>
  <c r="G347" i="11"/>
  <c r="H347" i="11" s="1"/>
  <c r="O229" i="11"/>
  <c r="N229" i="11"/>
  <c r="L229" i="11"/>
  <c r="O226" i="11"/>
  <c r="N226" i="11"/>
  <c r="L226" i="11"/>
  <c r="O225" i="11"/>
  <c r="N225" i="11"/>
  <c r="L225" i="11"/>
  <c r="O223" i="11"/>
  <c r="N223" i="11"/>
  <c r="L223" i="11"/>
  <c r="O219" i="11"/>
  <c r="N219" i="11"/>
  <c r="L219" i="11"/>
  <c r="O218" i="11"/>
  <c r="N218" i="11"/>
  <c r="L218" i="11"/>
  <c r="O217" i="11"/>
  <c r="N217" i="11"/>
  <c r="L217" i="11"/>
  <c r="G24" i="11"/>
  <c r="H24" i="11" s="1"/>
  <c r="G23" i="11"/>
  <c r="H23" i="11" s="1"/>
  <c r="O215" i="11"/>
  <c r="N215" i="11"/>
  <c r="L215" i="11"/>
  <c r="O208" i="11"/>
  <c r="N208" i="11"/>
  <c r="L208" i="11"/>
  <c r="O207" i="11"/>
  <c r="N207" i="11"/>
  <c r="L207" i="11"/>
  <c r="O206" i="11"/>
  <c r="N206" i="11"/>
  <c r="L206" i="11"/>
  <c r="O201" i="11"/>
  <c r="N201" i="11"/>
  <c r="L201" i="11"/>
  <c r="G156" i="11"/>
  <c r="G155" i="11"/>
  <c r="H155" i="11" s="1"/>
  <c r="H154" i="11"/>
  <c r="O198" i="11"/>
  <c r="N198" i="11"/>
  <c r="L198" i="11"/>
  <c r="O195" i="11"/>
  <c r="N195" i="11"/>
  <c r="L195" i="11"/>
  <c r="O193" i="11"/>
  <c r="N193" i="11"/>
  <c r="L193" i="11"/>
  <c r="O192" i="11"/>
  <c r="N192" i="11"/>
  <c r="L192" i="11"/>
  <c r="G399" i="11"/>
  <c r="G398" i="11"/>
  <c r="I396" i="11"/>
  <c r="N394" i="11" s="1"/>
  <c r="G396" i="11"/>
  <c r="O186" i="11"/>
  <c r="N186" i="11"/>
  <c r="L186" i="11"/>
  <c r="O185" i="11"/>
  <c r="N185" i="11"/>
  <c r="L185" i="11"/>
  <c r="H338" i="11"/>
  <c r="O184" i="11"/>
  <c r="N184" i="11"/>
  <c r="L184" i="11"/>
  <c r="O179" i="11"/>
  <c r="N179" i="11"/>
  <c r="L179" i="11"/>
  <c r="I389" i="11"/>
  <c r="N174" i="11" s="1"/>
  <c r="G389" i="11"/>
  <c r="O174" i="11"/>
  <c r="L174" i="11"/>
  <c r="G150" i="11"/>
  <c r="G149" i="11"/>
  <c r="O170" i="11"/>
  <c r="N170" i="11"/>
  <c r="L170" i="11"/>
  <c r="O165" i="11"/>
  <c r="N165" i="11"/>
  <c r="L165" i="11"/>
  <c r="O164" i="11"/>
  <c r="N164" i="11"/>
  <c r="L164" i="11"/>
  <c r="O162" i="11"/>
  <c r="N162" i="11"/>
  <c r="L162" i="11"/>
  <c r="I73" i="11"/>
  <c r="G73" i="11" s="1"/>
  <c r="I72" i="11"/>
  <c r="G72" i="11" s="1"/>
  <c r="G70" i="11"/>
  <c r="G69" i="11"/>
  <c r="G303" i="11"/>
  <c r="O155" i="11"/>
  <c r="N155" i="11"/>
  <c r="L155" i="11"/>
  <c r="G388" i="11"/>
  <c r="O153" i="11"/>
  <c r="N153" i="11"/>
  <c r="L153" i="11"/>
  <c r="O146" i="11"/>
  <c r="N146" i="11"/>
  <c r="L146" i="11"/>
  <c r="O145" i="11"/>
  <c r="N145" i="11"/>
  <c r="L145" i="11"/>
  <c r="H250" i="11"/>
  <c r="G246" i="11"/>
  <c r="O135" i="11"/>
  <c r="N135" i="11"/>
  <c r="L135" i="11"/>
  <c r="O130" i="11"/>
  <c r="N130" i="11"/>
  <c r="L130" i="11"/>
  <c r="O129" i="11"/>
  <c r="N129" i="11"/>
  <c r="L129" i="11"/>
  <c r="O120" i="11"/>
  <c r="N120" i="11"/>
  <c r="L120" i="11"/>
  <c r="G139" i="11"/>
  <c r="O118" i="11"/>
  <c r="N118" i="11"/>
  <c r="L118" i="11"/>
  <c r="G138" i="11"/>
  <c r="H138" i="11" s="1"/>
  <c r="O117" i="11"/>
  <c r="N117" i="11"/>
  <c r="L117" i="11"/>
  <c r="O113" i="11"/>
  <c r="N113" i="11"/>
  <c r="L113" i="11"/>
  <c r="N112" i="11"/>
  <c r="L112" i="11"/>
  <c r="O109" i="11"/>
  <c r="N109" i="11"/>
  <c r="L109" i="11"/>
  <c r="O107" i="11"/>
  <c r="N107" i="11"/>
  <c r="L107" i="11"/>
  <c r="G135" i="11"/>
  <c r="H135" i="11" s="1"/>
  <c r="O102" i="11"/>
  <c r="N102" i="11"/>
  <c r="L102" i="11"/>
  <c r="O101" i="11"/>
  <c r="N101" i="11"/>
  <c r="L101" i="11"/>
  <c r="O98" i="11"/>
  <c r="N98" i="11"/>
  <c r="L98" i="11"/>
  <c r="O96" i="11"/>
  <c r="N96" i="11"/>
  <c r="L96" i="11"/>
  <c r="O94" i="11"/>
  <c r="L94" i="11"/>
  <c r="I6" i="11"/>
  <c r="N3" i="11" s="1"/>
  <c r="G6" i="11"/>
  <c r="O85" i="11"/>
  <c r="N85" i="11"/>
  <c r="L85" i="11"/>
  <c r="G311" i="11"/>
  <c r="H311" i="11" s="1"/>
  <c r="O83" i="11"/>
  <c r="N83" i="11"/>
  <c r="L83" i="11"/>
  <c r="O79" i="11"/>
  <c r="N79" i="11"/>
  <c r="L79" i="11"/>
  <c r="N78" i="11"/>
  <c r="L78" i="11"/>
  <c r="O74" i="11"/>
  <c r="N74" i="11"/>
  <c r="L74" i="11"/>
  <c r="H379" i="11"/>
  <c r="O72" i="11"/>
  <c r="L72" i="11"/>
  <c r="N71" i="11"/>
  <c r="L71" i="11"/>
  <c r="G199" i="11"/>
  <c r="O62" i="11"/>
  <c r="N62" i="11"/>
  <c r="L62" i="11"/>
  <c r="G128" i="11"/>
  <c r="G123" i="11"/>
  <c r="O49" i="11"/>
  <c r="L49" i="11"/>
  <c r="G118" i="11"/>
  <c r="O47" i="11"/>
  <c r="N47" i="11"/>
  <c r="L47" i="11"/>
  <c r="G191" i="11"/>
  <c r="O43" i="11"/>
  <c r="N43" i="11"/>
  <c r="L43" i="11"/>
  <c r="G113" i="11"/>
  <c r="G111" i="11"/>
  <c r="G110" i="11"/>
  <c r="H109" i="11"/>
  <c r="O37" i="11"/>
  <c r="N37" i="11"/>
  <c r="L37" i="11"/>
  <c r="H108" i="11"/>
  <c r="O29" i="11"/>
  <c r="N29" i="11"/>
  <c r="L29" i="11"/>
  <c r="O27" i="11"/>
  <c r="N27" i="11"/>
  <c r="L27" i="11"/>
  <c r="O25" i="11"/>
  <c r="N25" i="11"/>
  <c r="L25" i="11"/>
  <c r="O23" i="11"/>
  <c r="N23" i="11"/>
  <c r="L23" i="11"/>
  <c r="G378" i="11"/>
  <c r="G377" i="11"/>
  <c r="O20" i="11"/>
  <c r="N20" i="11"/>
  <c r="L20" i="11"/>
  <c r="G376" i="11"/>
  <c r="O18" i="11"/>
  <c r="N18" i="11"/>
  <c r="L18" i="11"/>
  <c r="O16" i="11"/>
  <c r="N16" i="11"/>
  <c r="L16" i="11"/>
  <c r="O14" i="11"/>
  <c r="N14" i="11"/>
  <c r="L14" i="11"/>
  <c r="O13" i="11"/>
  <c r="N13" i="11"/>
  <c r="L13" i="11"/>
  <c r="G105" i="11"/>
  <c r="H105" i="11" s="1"/>
  <c r="G104" i="11"/>
  <c r="H103" i="11"/>
  <c r="O9" i="11"/>
  <c r="N9" i="11"/>
  <c r="L9" i="11"/>
  <c r="H102" i="11"/>
  <c r="O8" i="11"/>
  <c r="N8" i="11"/>
  <c r="L8" i="11"/>
  <c r="O3" i="11"/>
  <c r="L3" i="11"/>
  <c r="O2" i="11"/>
  <c r="N2" i="11"/>
  <c r="L2" i="11"/>
  <c r="N72" i="11" l="1"/>
  <c r="T5" i="11"/>
  <c r="E8" i="1" s="1"/>
  <c r="T6" i="11"/>
  <c r="E9" i="1" s="1"/>
  <c r="T8" i="11"/>
  <c r="E11" i="1" s="1"/>
  <c r="N387" i="11"/>
  <c r="N49" i="11"/>
  <c r="I438" i="11"/>
  <c r="S12" i="11"/>
  <c r="O436" i="11"/>
  <c r="N94" i="11"/>
  <c r="N436" i="11" l="1"/>
  <c r="T12" i="11"/>
  <c r="M83" i="3" l="1"/>
  <c r="M82" i="3" l="1"/>
  <c r="L82" i="3"/>
  <c r="M81" i="3"/>
  <c r="L81" i="3"/>
  <c r="I110" i="2"/>
  <c r="H110" i="2"/>
  <c r="M13" i="2"/>
  <c r="L13" i="2"/>
  <c r="M11" i="2"/>
  <c r="L11" i="2"/>
  <c r="M10" i="2"/>
  <c r="L10" i="2"/>
  <c r="M9" i="2"/>
  <c r="L9" i="2"/>
  <c r="M8" i="2"/>
  <c r="L8" i="2"/>
  <c r="M5" i="2"/>
  <c r="L5" i="2"/>
  <c r="M4" i="2"/>
  <c r="L4" i="2"/>
  <c r="M5" i="4"/>
  <c r="L5" i="4"/>
  <c r="M4" i="4"/>
  <c r="L4" i="4"/>
  <c r="M3" i="4"/>
  <c r="L3" i="4"/>
  <c r="M6" i="2"/>
  <c r="L6" i="2"/>
  <c r="M84" i="3" l="1"/>
  <c r="L84" i="3"/>
  <c r="F77" i="2"/>
  <c r="G77" i="2" s="1"/>
  <c r="F116" i="3"/>
  <c r="G116" i="3" s="1"/>
  <c r="F90" i="2"/>
  <c r="F76" i="2"/>
  <c r="J67" i="1"/>
  <c r="M34" i="3"/>
  <c r="F61" i="3"/>
  <c r="G61" i="3" s="1"/>
  <c r="F89" i="2"/>
  <c r="G89" i="2" s="1"/>
  <c r="F88" i="2"/>
  <c r="G88" i="2" s="1"/>
  <c r="F60" i="3"/>
  <c r="G60" i="3" s="1"/>
  <c r="I89" i="4" l="1"/>
  <c r="H89" i="4"/>
  <c r="F54" i="2"/>
  <c r="G54" i="2" s="1"/>
  <c r="F37" i="3"/>
  <c r="G37" i="3" s="1"/>
  <c r="L76" i="3" l="1"/>
  <c r="M76" i="3" l="1"/>
  <c r="L15" i="2" l="1"/>
  <c r="P61" i="3"/>
  <c r="L80" i="3" l="1"/>
  <c r="M15" i="2"/>
  <c r="I135" i="1" l="1"/>
  <c r="M80" i="3" l="1"/>
  <c r="M91" i="3" l="1"/>
  <c r="L91" i="3"/>
  <c r="D15" i="1" l="1"/>
  <c r="E15" i="1"/>
  <c r="F27" i="4" l="1"/>
  <c r="G27" i="4" s="1"/>
  <c r="D21" i="1" l="1"/>
  <c r="E21" i="1"/>
  <c r="E23" i="1"/>
  <c r="F40" i="4"/>
  <c r="F12" i="4"/>
  <c r="F11" i="4"/>
  <c r="F10" i="4"/>
  <c r="F14" i="4"/>
  <c r="D23" i="1" l="1"/>
  <c r="L6" i="4"/>
  <c r="M6" i="4"/>
  <c r="D22" i="1"/>
  <c r="E22" i="1"/>
  <c r="E24" i="1" s="1"/>
  <c r="F41" i="4"/>
  <c r="F46" i="4"/>
  <c r="G46" i="4" s="1"/>
  <c r="F45" i="4"/>
  <c r="G45" i="4" s="1"/>
  <c r="D24" i="1" l="1"/>
  <c r="F60" i="4"/>
  <c r="F4" i="4"/>
  <c r="F2" i="4"/>
  <c r="D30" i="1"/>
  <c r="E30" i="1"/>
  <c r="D35" i="1" s="1"/>
  <c r="B35" i="1" l="1"/>
  <c r="J135" i="1"/>
</calcChain>
</file>

<file path=xl/sharedStrings.xml><?xml version="1.0" encoding="utf-8"?>
<sst xmlns="http://schemas.openxmlformats.org/spreadsheetml/2006/main" count="3618" uniqueCount="420">
  <si>
    <t>Unidade</t>
  </si>
  <si>
    <t>Data da Venda</t>
  </si>
  <si>
    <t>Nome</t>
  </si>
  <si>
    <t>VGV</t>
  </si>
  <si>
    <t>Corretor</t>
  </si>
  <si>
    <t>Quantidade</t>
  </si>
  <si>
    <t>Gerente</t>
  </si>
  <si>
    <t>Ranking por VGV - Acumulado</t>
  </si>
  <si>
    <t>Posição</t>
  </si>
  <si>
    <t>Unidades</t>
  </si>
  <si>
    <t>Torre</t>
  </si>
  <si>
    <t>Empreendimento</t>
  </si>
  <si>
    <t>Total</t>
  </si>
  <si>
    <t>Vendas</t>
  </si>
  <si>
    <t>Revendas</t>
  </si>
  <si>
    <t xml:space="preserve"> </t>
  </si>
  <si>
    <t>MATHEUS</t>
  </si>
  <si>
    <t>BRUNO</t>
  </si>
  <si>
    <t>ALEXANDRE</t>
  </si>
  <si>
    <t>MAGAL</t>
  </si>
  <si>
    <t>TINO</t>
  </si>
  <si>
    <t>GASPAR</t>
  </si>
  <si>
    <t>MEL</t>
  </si>
  <si>
    <t>ROBSON</t>
  </si>
  <si>
    <t>ABILIO</t>
  </si>
  <si>
    <t>JIMMY</t>
  </si>
  <si>
    <t>MOSHE</t>
  </si>
  <si>
    <t>VITOR</t>
  </si>
  <si>
    <t>Comissão</t>
  </si>
  <si>
    <t>Premio</t>
  </si>
  <si>
    <t xml:space="preserve">Imobiliária Terceiro </t>
  </si>
  <si>
    <t>GREGORIO</t>
  </si>
  <si>
    <t>PIANTE</t>
  </si>
  <si>
    <t>BONAFE</t>
  </si>
  <si>
    <t>VANIA</t>
  </si>
  <si>
    <t>ROSE</t>
  </si>
  <si>
    <t>GILBERTO</t>
  </si>
  <si>
    <t>COSTA</t>
  </si>
  <si>
    <t>JAIME</t>
  </si>
  <si>
    <t>FANY</t>
  </si>
  <si>
    <t>FARIA</t>
  </si>
  <si>
    <t>CAXAMBU</t>
  </si>
  <si>
    <t>KHAL</t>
  </si>
  <si>
    <t>MAURICIO</t>
  </si>
  <si>
    <t>TONY</t>
  </si>
  <si>
    <t>BACCAN</t>
  </si>
  <si>
    <t>GIMENEZ</t>
  </si>
  <si>
    <t>EDUARDO</t>
  </si>
  <si>
    <t>LIBERATO</t>
  </si>
  <si>
    <t>CLAUDIA</t>
  </si>
  <si>
    <t>SARAIVA</t>
  </si>
  <si>
    <t>MALU (ONLINE)</t>
  </si>
  <si>
    <t>VERA</t>
  </si>
  <si>
    <t>CLASS VARANDA MARIANA</t>
  </si>
  <si>
    <t>NOVO JARDIM</t>
  </si>
  <si>
    <t>HELOISA</t>
  </si>
  <si>
    <t>LUSIMERE</t>
  </si>
  <si>
    <t>AMISTA SPECIAL RESORT</t>
  </si>
  <si>
    <t>MAGNÓLIA</t>
  </si>
  <si>
    <t>FREIRE</t>
  </si>
  <si>
    <t>MEDEIROS</t>
  </si>
  <si>
    <t>DOUGLAS</t>
  </si>
  <si>
    <t>ENZO</t>
  </si>
  <si>
    <t>MITUI</t>
  </si>
  <si>
    <t>ANDERSON</t>
  </si>
  <si>
    <t>DANIELA</t>
  </si>
  <si>
    <t>KATE</t>
  </si>
  <si>
    <t>DIAS</t>
  </si>
  <si>
    <t>HAROLDO</t>
  </si>
  <si>
    <t>HAMILTON</t>
  </si>
  <si>
    <t>COELHO</t>
  </si>
  <si>
    <t>CHANNEL</t>
  </si>
  <si>
    <t>TOME</t>
  </si>
  <si>
    <t>NETO</t>
  </si>
  <si>
    <t>FALCÃO</t>
  </si>
  <si>
    <t>GALILEU</t>
  </si>
  <si>
    <t>GILDA</t>
  </si>
  <si>
    <t>GUILHERMINA</t>
  </si>
  <si>
    <t>JULINHO</t>
  </si>
  <si>
    <t>LUCIANO</t>
  </si>
  <si>
    <t>EVITA</t>
  </si>
  <si>
    <t>DECOR PARAÍSO</t>
  </si>
  <si>
    <t>ÚNICA</t>
  </si>
  <si>
    <t>CAMIS (ONLINE)</t>
  </si>
  <si>
    <t>VINNI</t>
  </si>
  <si>
    <t xml:space="preserve">ÚNICA </t>
  </si>
  <si>
    <t>HUDSON</t>
  </si>
  <si>
    <t>CACAU</t>
  </si>
  <si>
    <t>FELICIDADE</t>
  </si>
  <si>
    <t>PIAZZA SUPREMA</t>
  </si>
  <si>
    <t>IMOBILIÁRIA TERCEIROS - MACHADO</t>
  </si>
  <si>
    <t>MACHADO</t>
  </si>
  <si>
    <t>LUDMILLA (ONLINE)</t>
  </si>
  <si>
    <t>BLUMA (ONLINE)</t>
  </si>
  <si>
    <t>CARINA (ONLINE)</t>
  </si>
  <si>
    <t>SYLMARA (ONLINE)</t>
  </si>
  <si>
    <t>TATYANA (ONLINE)</t>
  </si>
  <si>
    <t>THIAGO (ONLINE)</t>
  </si>
  <si>
    <t>ESTHER (ONLINE)</t>
  </si>
  <si>
    <t>REYNALDO (ONLINE)</t>
  </si>
  <si>
    <t>GARCIA (ONLINE)</t>
  </si>
  <si>
    <t>PATRICIA (ONLINE)</t>
  </si>
  <si>
    <t>FERNANDO</t>
  </si>
  <si>
    <t>ADRIANO</t>
  </si>
  <si>
    <t>KAMILA</t>
  </si>
  <si>
    <t>ERICA (ONLINE)</t>
  </si>
  <si>
    <t xml:space="preserve">TILICO </t>
  </si>
  <si>
    <t>Ranking por VGV - Mac e Cia - Acumulado</t>
  </si>
  <si>
    <t>TOTAL</t>
  </si>
  <si>
    <t>Ranking por VGV - Revenda - Acumulado</t>
  </si>
  <si>
    <t>Ranking por VGV - Geral - Acumulado</t>
  </si>
  <si>
    <t xml:space="preserve">NOVO JARDIM </t>
  </si>
  <si>
    <t xml:space="preserve">MAGNÓLIA </t>
  </si>
  <si>
    <t>UNICA</t>
  </si>
  <si>
    <t xml:space="preserve">AVANTI GUARULHOS </t>
  </si>
  <si>
    <t xml:space="preserve">TONS DA VILLA </t>
  </si>
  <si>
    <t>AMISTA BOSQUE &amp; LAZER</t>
  </si>
  <si>
    <t>ACACIA</t>
  </si>
  <si>
    <t xml:space="preserve">FLORES </t>
  </si>
  <si>
    <t>MAGNOLIA</t>
  </si>
  <si>
    <t xml:space="preserve">CLASS VARANDA MARIANA </t>
  </si>
  <si>
    <t>AMARILIS</t>
  </si>
  <si>
    <t>ESTILO JARDINS</t>
  </si>
  <si>
    <t>IMOBILIARIA TERCEIROS - FALCÃO</t>
  </si>
  <si>
    <t xml:space="preserve">NEW STATION </t>
  </si>
  <si>
    <t>IMOBILIARIA TERCEIROS - FERNANDO</t>
  </si>
  <si>
    <t>DECOR PARAISO</t>
  </si>
  <si>
    <t>IMOBILIARIA TERCEIROS - MACHADO</t>
  </si>
  <si>
    <t>VALMIR</t>
  </si>
  <si>
    <t>DIEGO</t>
  </si>
  <si>
    <t xml:space="preserve">VITOR </t>
  </si>
  <si>
    <t xml:space="preserve">DOUGLAS </t>
  </si>
  <si>
    <t xml:space="preserve">JIMMY </t>
  </si>
  <si>
    <t xml:space="preserve">IMOB TERCEIROS - HUDSON </t>
  </si>
  <si>
    <t xml:space="preserve">HUDSON </t>
  </si>
  <si>
    <t>IMOB TERCEIROS - FALCÃO</t>
  </si>
  <si>
    <t>BURITI</t>
  </si>
  <si>
    <t>PASSAROS</t>
  </si>
  <si>
    <t xml:space="preserve">AVANTI CLUBE </t>
  </si>
  <si>
    <t xml:space="preserve">AVANTI VIDA </t>
  </si>
  <si>
    <t>RAPHAEL</t>
  </si>
  <si>
    <t>LIANY</t>
  </si>
  <si>
    <t>ARTTE</t>
  </si>
  <si>
    <t xml:space="preserve">ABILIO </t>
  </si>
  <si>
    <t>IMOB TERCEIROS - ROSE</t>
  </si>
  <si>
    <t xml:space="preserve">COSMOPOLITAN </t>
  </si>
  <si>
    <t>COSMOPOLITAN</t>
  </si>
  <si>
    <t>MARCIA</t>
  </si>
  <si>
    <t>GISELE</t>
  </si>
  <si>
    <t>LUCIA</t>
  </si>
  <si>
    <t>TROIA</t>
  </si>
  <si>
    <t>NEIVA (ONLINE)</t>
  </si>
  <si>
    <t>AUGUSTO</t>
  </si>
  <si>
    <t>GLASER</t>
  </si>
  <si>
    <t>JOAL</t>
  </si>
  <si>
    <t>JONAS</t>
  </si>
  <si>
    <t>IMOB TERCEIROS - MACHADO</t>
  </si>
  <si>
    <t>IMOB TERCEIROS - FERNANDO</t>
  </si>
  <si>
    <t>SOLANGE (ONLINE)</t>
  </si>
  <si>
    <t>JADE</t>
  </si>
  <si>
    <t>RONALDO</t>
  </si>
  <si>
    <t>AILTON</t>
  </si>
  <si>
    <t>DANTE</t>
  </si>
  <si>
    <t>VITORIA</t>
  </si>
  <si>
    <t>CORAL</t>
  </si>
  <si>
    <t xml:space="preserve">AROEIRA </t>
  </si>
  <si>
    <t>AMISTA BIOSQUE LAZARE</t>
  </si>
  <si>
    <t>CAMBUI</t>
  </si>
  <si>
    <t>FATIMA</t>
  </si>
  <si>
    <t>JOSELIA</t>
  </si>
  <si>
    <t>ARETHA</t>
  </si>
  <si>
    <t>DEBORA</t>
  </si>
  <si>
    <t>OLAVO</t>
  </si>
  <si>
    <t>LEANDRO</t>
  </si>
  <si>
    <t xml:space="preserve">SILVA </t>
  </si>
  <si>
    <t>JEQUITIBA</t>
  </si>
  <si>
    <t>CARLOS</t>
  </si>
  <si>
    <t>ROMULO</t>
  </si>
  <si>
    <t>SILVIA (ONLINE)</t>
  </si>
  <si>
    <t>BENTO</t>
  </si>
  <si>
    <t>IRINEU</t>
  </si>
  <si>
    <t>IMOBILIÁRIA TERCEIRO -FALCÃO</t>
  </si>
  <si>
    <t>AVANTI VIDA</t>
  </si>
  <si>
    <t>FIGUEIRA</t>
  </si>
  <si>
    <t xml:space="preserve">ALEXANDRE </t>
  </si>
  <si>
    <t>VERTE</t>
  </si>
  <si>
    <t>GALLERY OFFICES</t>
  </si>
  <si>
    <t xml:space="preserve">ARTTE </t>
  </si>
  <si>
    <t>AMIZADE</t>
  </si>
  <si>
    <t>ANDIROBA</t>
  </si>
  <si>
    <t xml:space="preserve">BRUNO </t>
  </si>
  <si>
    <t>AMISTÁ BOSQUE LAZER</t>
  </si>
  <si>
    <t xml:space="preserve">FARIA </t>
  </si>
  <si>
    <t>FERNANDA</t>
  </si>
  <si>
    <t xml:space="preserve">GILDA </t>
  </si>
  <si>
    <t>AMISTA BOSQUE LAZER</t>
  </si>
  <si>
    <t>LUDMILLA</t>
  </si>
  <si>
    <t>REYNALDO</t>
  </si>
  <si>
    <t>ROBERTO</t>
  </si>
  <si>
    <t>SILVA</t>
  </si>
  <si>
    <t>TILICO</t>
  </si>
  <si>
    <t>VAGA EXTRA</t>
  </si>
  <si>
    <t xml:space="preserve">226G </t>
  </si>
  <si>
    <t xml:space="preserve">VANIA </t>
  </si>
  <si>
    <t>AMISTÁ BOSQUE</t>
  </si>
  <si>
    <t>ACÁCIA</t>
  </si>
  <si>
    <t>CAMIS</t>
  </si>
  <si>
    <t>CARINA</t>
  </si>
  <si>
    <t>AMISTÁ SPECIAL RESORT</t>
  </si>
  <si>
    <t xml:space="preserve">AMISTÁ BOSQUE </t>
  </si>
  <si>
    <t xml:space="preserve">BURITI </t>
  </si>
  <si>
    <t>CAMBUÍ</t>
  </si>
  <si>
    <t xml:space="preserve">ADRIANO </t>
  </si>
  <si>
    <t>ARES DO PARQUE</t>
  </si>
  <si>
    <t xml:space="preserve">JAIME </t>
  </si>
  <si>
    <t xml:space="preserve">FLAMBOYANT </t>
  </si>
  <si>
    <t xml:space="preserve">DIEGO </t>
  </si>
  <si>
    <t>201-M</t>
  </si>
  <si>
    <t>BLUMA</t>
  </si>
  <si>
    <t>AMISTA BOSQUE E LAZER</t>
  </si>
  <si>
    <t>FLAMBOYANT</t>
  </si>
  <si>
    <t xml:space="preserve">CARINA </t>
  </si>
  <si>
    <t>110 E 111</t>
  </si>
  <si>
    <t>104, 604, 1105 E 1106</t>
  </si>
  <si>
    <t>DENISE</t>
  </si>
  <si>
    <t>ÚNICO</t>
  </si>
  <si>
    <t xml:space="preserve">FELICIDADE </t>
  </si>
  <si>
    <t>LIRIO</t>
  </si>
  <si>
    <t>1108 E 1111</t>
  </si>
  <si>
    <t>903 E 904</t>
  </si>
  <si>
    <t>AVANTI GUARULHOS</t>
  </si>
  <si>
    <t>PÁSSAROS</t>
  </si>
  <si>
    <t>1109 E 1110</t>
  </si>
  <si>
    <t>TONS DA VILLA</t>
  </si>
  <si>
    <t>1501 ATE 1512</t>
  </si>
  <si>
    <t>MALU</t>
  </si>
  <si>
    <t>138G</t>
  </si>
  <si>
    <t>PATRICIA</t>
  </si>
  <si>
    <t>132G</t>
  </si>
  <si>
    <t>SYLMARA</t>
  </si>
  <si>
    <t>1001, 1002 E 1012</t>
  </si>
  <si>
    <t>1006 E 1007</t>
  </si>
  <si>
    <t>220-G</t>
  </si>
  <si>
    <t>223M</t>
  </si>
  <si>
    <t>203-M</t>
  </si>
  <si>
    <t>FLORES</t>
  </si>
  <si>
    <t>FAMILIA IPIRANGA</t>
  </si>
  <si>
    <t>ACQUA</t>
  </si>
  <si>
    <t>PITANGUEIRA</t>
  </si>
  <si>
    <t>SOLAR</t>
  </si>
  <si>
    <t>Obs.: 1112 Cosmopolitan foi definido venda para Lopes.</t>
  </si>
  <si>
    <t>ARETA</t>
  </si>
  <si>
    <t>IMOBILIÁRIA TERCEIRO -MACHADO</t>
  </si>
  <si>
    <t>MAURO</t>
  </si>
  <si>
    <t>FECILIDADE</t>
  </si>
  <si>
    <t>DEBORAH</t>
  </si>
  <si>
    <t>MARTA (ONLINE)</t>
  </si>
  <si>
    <t>NETHO</t>
  </si>
  <si>
    <t xml:space="preserve">CLASS </t>
  </si>
  <si>
    <t>CLASS</t>
  </si>
  <si>
    <t>CAMIS (ON LINE)</t>
  </si>
  <si>
    <t>BLUMA (ON LINE)</t>
  </si>
  <si>
    <t>TOBIAS</t>
  </si>
  <si>
    <t>SOLANGE</t>
  </si>
  <si>
    <t xml:space="preserve">ARES DO PARQUE </t>
  </si>
  <si>
    <t>ARES DOA PARQUE</t>
  </si>
  <si>
    <t>IDALICE</t>
  </si>
  <si>
    <t>MARCELO</t>
  </si>
  <si>
    <t>DAMIÃO</t>
  </si>
  <si>
    <t xml:space="preserve">PIAZZA SUPREMA </t>
  </si>
  <si>
    <t>PASSEIO DO BOSQUE</t>
  </si>
  <si>
    <t xml:space="preserve">JEQUITIBA </t>
  </si>
  <si>
    <t>EUCALIPTO</t>
  </si>
  <si>
    <t>CARVALHO</t>
  </si>
  <si>
    <t>CRISTIANO</t>
  </si>
  <si>
    <t>NATAL</t>
  </si>
  <si>
    <t>EVA</t>
  </si>
  <si>
    <t>MARIANA</t>
  </si>
  <si>
    <t>IPE</t>
  </si>
  <si>
    <t>KEIKO</t>
  </si>
  <si>
    <t>MIRIAM</t>
  </si>
  <si>
    <t>ARAUJO</t>
  </si>
  <si>
    <t>AFRAH</t>
  </si>
  <si>
    <t>CAROL</t>
  </si>
  <si>
    <t>SILVIA(ONLINE)</t>
  </si>
  <si>
    <t>CESAR</t>
  </si>
  <si>
    <t>SOUZA</t>
  </si>
  <si>
    <t>CIDA</t>
  </si>
  <si>
    <t>CIDA (2)</t>
  </si>
  <si>
    <t>LUIZA</t>
  </si>
  <si>
    <t>SENNA</t>
  </si>
  <si>
    <t>ERCIO</t>
  </si>
  <si>
    <t>FLAVIO</t>
  </si>
  <si>
    <t>488G</t>
  </si>
  <si>
    <t>487G</t>
  </si>
  <si>
    <t>CABRAL</t>
  </si>
  <si>
    <t>GARCIA</t>
  </si>
  <si>
    <t>IVONE</t>
  </si>
  <si>
    <t>VICINO</t>
  </si>
  <si>
    <t xml:space="preserve">STATION OFFICES </t>
  </si>
  <si>
    <t>LUNA</t>
  </si>
  <si>
    <t>IMOBILIÁRIA TERCEIRO -FERNANDO</t>
  </si>
  <si>
    <t>IRIS</t>
  </si>
  <si>
    <t>375G</t>
  </si>
  <si>
    <t>IRENE</t>
  </si>
  <si>
    <t>MIRIAM (ONLINE)</t>
  </si>
  <si>
    <t>ITAMAR</t>
  </si>
  <si>
    <t>ERICA</t>
  </si>
  <si>
    <t>ESTHER</t>
  </si>
  <si>
    <t>MARTA</t>
  </si>
  <si>
    <t>NEIVA</t>
  </si>
  <si>
    <t>SILVIA</t>
  </si>
  <si>
    <t>TATYANA</t>
  </si>
  <si>
    <t>THIAGO</t>
  </si>
  <si>
    <t xml:space="preserve">FERNANDA </t>
  </si>
  <si>
    <t>MOHE</t>
  </si>
  <si>
    <t>VIOTR</t>
  </si>
  <si>
    <t>GERENTE</t>
  </si>
  <si>
    <t>UNIDADES</t>
  </si>
  <si>
    <t>VUSTER TESTE</t>
  </si>
  <si>
    <t>XX</t>
  </si>
  <si>
    <t>Soma de VGV</t>
  </si>
  <si>
    <t>Valores</t>
  </si>
  <si>
    <t>Soma de Vendas</t>
  </si>
  <si>
    <t>mês</t>
  </si>
  <si>
    <t>Ano</t>
  </si>
  <si>
    <t>Tipo de Venda</t>
  </si>
  <si>
    <t>REVENDA</t>
  </si>
  <si>
    <t>DIRETA</t>
  </si>
  <si>
    <t>TERCEIROS</t>
  </si>
  <si>
    <t>Estilo Venda</t>
  </si>
  <si>
    <t>ESTOQUE</t>
  </si>
  <si>
    <t>LANÇAMENTO</t>
  </si>
  <si>
    <t>Sati</t>
  </si>
  <si>
    <t>Comissão Access</t>
  </si>
  <si>
    <t>Coord. Access</t>
  </si>
  <si>
    <t>Coord. Access Comissão</t>
  </si>
  <si>
    <t>Comissão Gerente</t>
  </si>
  <si>
    <t>Premio Gerente</t>
  </si>
  <si>
    <t>Comissão Corretor</t>
  </si>
  <si>
    <t>Premio Corretor</t>
  </si>
  <si>
    <t>PV</t>
  </si>
  <si>
    <t>Coord. Online</t>
  </si>
  <si>
    <t>Comissão Coord. Online</t>
  </si>
  <si>
    <t>Codigo Sap</t>
  </si>
  <si>
    <t>Codgo Sap</t>
  </si>
  <si>
    <t>Diretor Comissão</t>
  </si>
  <si>
    <t>Diretor Premio</t>
  </si>
  <si>
    <t>Data</t>
  </si>
  <si>
    <t>Distrato</t>
  </si>
  <si>
    <t>Data Distrato</t>
  </si>
  <si>
    <t>IMOB. T. - ROSE</t>
  </si>
  <si>
    <t>LOURENÇO</t>
  </si>
  <si>
    <t>ATILIO</t>
  </si>
  <si>
    <t>CRISTIANE</t>
  </si>
  <si>
    <t>Soma de Gerente</t>
  </si>
  <si>
    <t>Colunas1</t>
  </si>
  <si>
    <t>Contar de Vendas</t>
  </si>
  <si>
    <t>Observações da Venda</t>
  </si>
  <si>
    <t>Acácia</t>
  </si>
  <si>
    <t>Acqua</t>
  </si>
  <si>
    <t>Cambuí</t>
  </si>
  <si>
    <t>Cedro</t>
  </si>
  <si>
    <t>Flamboyant</t>
  </si>
  <si>
    <t>Oliveira</t>
  </si>
  <si>
    <t>PASSEIO DO BOSQUE - BONFIGLIOLI</t>
  </si>
  <si>
    <t>STATION OFFICES SAÚDE</t>
  </si>
  <si>
    <t>AVANTI CLUBE</t>
  </si>
  <si>
    <t>Buriti</t>
  </si>
  <si>
    <t>GIULIANO</t>
  </si>
  <si>
    <t>IMOB. T. - FERNANDO</t>
  </si>
  <si>
    <t>IMOB. T. - MAX</t>
  </si>
  <si>
    <t>IMOB. T. - MACHADO</t>
  </si>
  <si>
    <t>Pagadoria</t>
  </si>
  <si>
    <t>BOULEVARD LAPA</t>
  </si>
  <si>
    <t>Origens Lapa</t>
  </si>
  <si>
    <t>Laços da Lapa</t>
  </si>
  <si>
    <t>Access</t>
  </si>
  <si>
    <t>Seller</t>
  </si>
  <si>
    <t>Lopes</t>
  </si>
  <si>
    <t>Boulevard Lapa</t>
  </si>
  <si>
    <t>Venda Interna</t>
  </si>
  <si>
    <t>unidade</t>
  </si>
  <si>
    <t>Empresa</t>
  </si>
  <si>
    <t>vgv</t>
  </si>
  <si>
    <t>NOW STUDIOS IPIRANGA</t>
  </si>
  <si>
    <t>Now Studios Ipiranga</t>
  </si>
  <si>
    <t>HUDSON/COELHO</t>
  </si>
  <si>
    <t>SIMONE</t>
  </si>
  <si>
    <t>SUSANA</t>
  </si>
  <si>
    <t>Única</t>
  </si>
  <si>
    <t>Estoque</t>
  </si>
  <si>
    <t>Lançamento</t>
  </si>
  <si>
    <t>Revenda</t>
  </si>
  <si>
    <t>SHARE - 2013</t>
  </si>
  <si>
    <t>ACCESS</t>
  </si>
  <si>
    <t>TOTAL VENDAS - MAC MÊS</t>
  </si>
  <si>
    <t>%</t>
  </si>
  <si>
    <t>JULHO</t>
  </si>
  <si>
    <t>AGOSTO</t>
  </si>
  <si>
    <t>SETEMBRO</t>
  </si>
  <si>
    <t>OUTUBRO</t>
  </si>
  <si>
    <t>NOVEMBRO</t>
  </si>
  <si>
    <t>DEZEMBRO</t>
  </si>
  <si>
    <t>MARINA</t>
  </si>
  <si>
    <t>JANEIRO</t>
  </si>
  <si>
    <t>FEVEREIRO</t>
  </si>
  <si>
    <t>MARÇO</t>
  </si>
  <si>
    <t>ABRIL</t>
  </si>
  <si>
    <t>MAIO</t>
  </si>
  <si>
    <t>JUNHO</t>
  </si>
  <si>
    <t/>
  </si>
  <si>
    <t>ERNESTO</t>
  </si>
  <si>
    <t>Grand Total</t>
  </si>
  <si>
    <t>(All)</t>
  </si>
  <si>
    <t>Row Labels</t>
  </si>
  <si>
    <t>(Multiple Items)</t>
  </si>
  <si>
    <t>VITÓRIA</t>
  </si>
  <si>
    <t>IZABEL</t>
  </si>
  <si>
    <t>IMOB. T. - MARCIO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</si>
</sst>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(&quot;R$ &quot;* #,##0.00_);_(&quot;R$ &quot;* \(#,##0.00\);_(&quot;R$ &quot;* &quot;-&quot;??_);_(@_)"/>
    <numFmt numFmtId="167" formatCode="0.0"/>
    <numFmt numFmtId="168" formatCode="#,##0.0_);\(#,##0.0\)"/>
    <numFmt numFmtId="169" formatCode="0.000"/>
    <numFmt numFmtId="170" formatCode="0.0000"/>
    <numFmt numFmtId="171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3184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4">
    <xf numFmtId="0" fontId="0" fillId="0" borderId="0" xfId="0"/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" fontId="0" fillId="0" borderId="0" xfId="0" applyNumberFormat="1" applyBorder="1"/>
    <xf numFmtId="43" fontId="0" fillId="0" borderId="0" xfId="0" applyNumberFormat="1"/>
    <xf numFmtId="4" fontId="0" fillId="0" borderId="0" xfId="0" applyNumberFormat="1"/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/>
    </xf>
    <xf numFmtId="43" fontId="1" fillId="3" borderId="1" xfId="3" applyFont="1" applyFill="1" applyBorder="1" applyAlignment="1">
      <alignment horizontal="center"/>
    </xf>
    <xf numFmtId="0" fontId="0" fillId="0" borderId="1" xfId="0" applyBorder="1"/>
    <xf numFmtId="14" fontId="0" fillId="3" borderId="1" xfId="0" applyNumberForma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5" fontId="0" fillId="0" borderId="0" xfId="0" applyNumberFormat="1"/>
    <xf numFmtId="0" fontId="0" fillId="0" borderId="1" xfId="0" applyFill="1" applyBorder="1" applyAlignment="1">
      <alignment horizontal="left"/>
    </xf>
    <xf numFmtId="4" fontId="0" fillId="0" borderId="1" xfId="0" applyNumberFormat="1" applyBorder="1" applyAlignment="1"/>
    <xf numFmtId="14" fontId="0" fillId="3" borderId="1" xfId="0" applyNumberFormat="1" applyFill="1" applyBorder="1" applyAlignment="1">
      <alignment horizontal="left" vertical="center"/>
    </xf>
    <xf numFmtId="43" fontId="2" fillId="5" borderId="1" xfId="0" applyNumberFormat="1" applyFont="1" applyFill="1" applyBorder="1" applyAlignment="1">
      <alignment horizontal="left" vertical="center"/>
    </xf>
    <xf numFmtId="4" fontId="2" fillId="5" borderId="1" xfId="0" applyNumberFormat="1" applyFont="1" applyFill="1" applyBorder="1" applyAlignment="1">
      <alignment horizontal="right"/>
    </xf>
    <xf numFmtId="14" fontId="0" fillId="3" borderId="1" xfId="0" applyNumberFormat="1" applyFill="1" applyBorder="1" applyAlignment="1"/>
    <xf numFmtId="4" fontId="1" fillId="3" borderId="1" xfId="3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6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" fontId="3" fillId="6" borderId="1" xfId="0" applyNumberFormat="1" applyFont="1" applyFill="1" applyBorder="1"/>
    <xf numFmtId="4" fontId="3" fillId="6" borderId="1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167" fontId="1" fillId="3" borderId="1" xfId="3" applyNumberFormat="1" applyFont="1" applyFill="1" applyBorder="1" applyAlignment="1">
      <alignment horizontal="center"/>
    </xf>
    <xf numFmtId="1" fontId="0" fillId="0" borderId="0" xfId="0" applyNumberFormat="1"/>
    <xf numFmtId="4" fontId="3" fillId="3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4" fontId="1" fillId="3" borderId="1" xfId="3" applyNumberFormat="1" applyFont="1" applyFill="1" applyBorder="1" applyAlignment="1"/>
    <xf numFmtId="1" fontId="0" fillId="3" borderId="1" xfId="0" applyNumberFormat="1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 vertical="center"/>
    </xf>
    <xf numFmtId="167" fontId="0" fillId="3" borderId="1" xfId="0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4" fontId="0" fillId="3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right"/>
    </xf>
    <xf numFmtId="37" fontId="0" fillId="0" borderId="0" xfId="0" applyNumberFormat="1"/>
    <xf numFmtId="168" fontId="3" fillId="3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168" fontId="2" fillId="5" borderId="1" xfId="0" applyNumberFormat="1" applyFont="1" applyFill="1" applyBorder="1" applyAlignment="1">
      <alignment horizontal="center" vertical="center"/>
    </xf>
    <xf numFmtId="4" fontId="2" fillId="5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14" fontId="0" fillId="3" borderId="0" xfId="0" applyNumberForma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67" fontId="3" fillId="3" borderId="0" xfId="0" applyNumberFormat="1" applyFont="1" applyFill="1" applyBorder="1" applyAlignment="1">
      <alignment horizontal="center" vertical="center"/>
    </xf>
    <xf numFmtId="43" fontId="3" fillId="3" borderId="0" xfId="0" applyNumberFormat="1" applyFont="1" applyFill="1" applyBorder="1" applyAlignment="1">
      <alignment horizontal="center" vertical="center"/>
    </xf>
    <xf numFmtId="43" fontId="2" fillId="3" borderId="0" xfId="0" applyNumberFormat="1" applyFont="1" applyFill="1" applyBorder="1" applyAlignment="1">
      <alignment horizontal="left" vertical="center"/>
    </xf>
    <xf numFmtId="1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 applyAlignment="1">
      <alignment horizontal="right"/>
    </xf>
    <xf numFmtId="4" fontId="0" fillId="3" borderId="1" xfId="0" applyNumberFormat="1" applyFill="1" applyBorder="1" applyAlignment="1">
      <alignment horizontal="right"/>
    </xf>
    <xf numFmtId="2" fontId="0" fillId="3" borderId="1" xfId="0" applyNumberFormat="1" applyFont="1" applyFill="1" applyBorder="1" applyAlignment="1">
      <alignment horizontal="center" vertical="center"/>
    </xf>
    <xf numFmtId="2" fontId="1" fillId="3" borderId="1" xfId="3" applyNumberFormat="1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left"/>
    </xf>
    <xf numFmtId="2" fontId="0" fillId="0" borderId="0" xfId="0" applyNumberFormat="1"/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167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vertical="center"/>
    </xf>
    <xf numFmtId="167" fontId="0" fillId="3" borderId="1" xfId="0" applyNumberForma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69" fontId="0" fillId="3" borderId="1" xfId="0" applyNumberFormat="1" applyFont="1" applyFill="1" applyBorder="1" applyAlignment="1">
      <alignment horizontal="center" vertical="center"/>
    </xf>
    <xf numFmtId="169" fontId="0" fillId="3" borderId="1" xfId="0" applyNumberFormat="1" applyFill="1" applyBorder="1" applyAlignment="1">
      <alignment horizontal="center" vertical="center"/>
    </xf>
    <xf numFmtId="169" fontId="0" fillId="3" borderId="1" xfId="0" applyNumberFormat="1" applyFont="1" applyFill="1" applyBorder="1" applyAlignment="1">
      <alignment horizontal="center"/>
    </xf>
    <xf numFmtId="0" fontId="0" fillId="0" borderId="1" xfId="0" applyFill="1" applyBorder="1"/>
    <xf numFmtId="169" fontId="3" fillId="6" borderId="1" xfId="0" applyNumberFormat="1" applyFont="1" applyFill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/>
    <xf numFmtId="2" fontId="3" fillId="6" borderId="1" xfId="0" applyNumberFormat="1" applyFont="1" applyFill="1" applyBorder="1" applyAlignment="1">
      <alignment horizontal="center"/>
    </xf>
    <xf numFmtId="167" fontId="0" fillId="0" borderId="1" xfId="0" applyNumberFormat="1" applyBorder="1"/>
    <xf numFmtId="43" fontId="0" fillId="0" borderId="1" xfId="0" applyNumberFormat="1" applyBorder="1"/>
    <xf numFmtId="43" fontId="0" fillId="0" borderId="1" xfId="0" applyNumberFormat="1" applyBorder="1" applyAlignment="1">
      <alignment horizontal="right"/>
    </xf>
    <xf numFmtId="4" fontId="3" fillId="6" borderId="1" xfId="0" applyNumberFormat="1" applyFont="1" applyFill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4" fontId="1" fillId="3" borderId="1" xfId="3" applyNumberFormat="1" applyFont="1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3" fontId="1" fillId="3" borderId="1" xfId="3" applyFont="1" applyFill="1" applyBorder="1" applyAlignment="1"/>
    <xf numFmtId="43" fontId="3" fillId="6" borderId="1" xfId="0" applyNumberFormat="1" applyFont="1" applyFill="1" applyBorder="1"/>
    <xf numFmtId="0" fontId="0" fillId="3" borderId="1" xfId="0" applyFill="1" applyBorder="1"/>
    <xf numFmtId="43" fontId="1" fillId="3" borderId="0" xfId="3" applyFont="1" applyFill="1" applyBorder="1" applyAlignment="1">
      <alignment horizontal="center"/>
    </xf>
    <xf numFmtId="4" fontId="0" fillId="3" borderId="1" xfId="0" applyNumberFormat="1" applyFill="1" applyBorder="1" applyProtection="1">
      <protection locked="0"/>
    </xf>
    <xf numFmtId="43" fontId="5" fillId="3" borderId="0" xfId="0" applyNumberFormat="1" applyFont="1" applyFill="1"/>
    <xf numFmtId="167" fontId="5" fillId="3" borderId="0" xfId="0" applyNumberFormat="1" applyFont="1" applyFill="1"/>
    <xf numFmtId="1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43" fontId="0" fillId="3" borderId="1" xfId="3" applyFont="1" applyFill="1" applyBorder="1" applyAlignment="1">
      <alignment horizontal="center"/>
    </xf>
    <xf numFmtId="167" fontId="3" fillId="6" borderId="1" xfId="0" applyNumberFormat="1" applyFont="1" applyFill="1" applyBorder="1" applyAlignment="1">
      <alignment horizontal="center"/>
    </xf>
    <xf numFmtId="0" fontId="0" fillId="0" borderId="1" xfId="0" applyBorder="1" applyAlignment="1"/>
    <xf numFmtId="0" fontId="3" fillId="6" borderId="1" xfId="0" applyFont="1" applyFill="1" applyBorder="1"/>
    <xf numFmtId="0" fontId="0" fillId="6" borderId="1" xfId="0" applyFill="1" applyBorder="1"/>
    <xf numFmtId="4" fontId="0" fillId="0" borderId="1" xfId="0" applyNumberFormat="1" applyBorder="1" applyAlignment="1">
      <alignment horizontal="right"/>
    </xf>
    <xf numFmtId="43" fontId="1" fillId="3" borderId="1" xfId="3" applyFont="1" applyFill="1" applyBorder="1" applyAlignment="1">
      <alignment horizontal="right"/>
    </xf>
    <xf numFmtId="4" fontId="0" fillId="3" borderId="1" xfId="3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1" fontId="0" fillId="6" borderId="1" xfId="0" applyNumberFormat="1" applyFont="1" applyFill="1" applyBorder="1" applyAlignment="1">
      <alignment horizontal="center"/>
    </xf>
    <xf numFmtId="14" fontId="0" fillId="6" borderId="1" xfId="0" applyNumberFormat="1" applyFont="1" applyFill="1" applyBorder="1" applyAlignment="1">
      <alignment horizontal="center"/>
    </xf>
    <xf numFmtId="43" fontId="1" fillId="6" borderId="1" xfId="3" applyFont="1" applyFill="1" applyBorder="1" applyAlignment="1">
      <alignment horizontal="center"/>
    </xf>
    <xf numFmtId="167" fontId="1" fillId="6" borderId="1" xfId="3" applyNumberFormat="1" applyFon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2" fontId="1" fillId="6" borderId="1" xfId="3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right"/>
    </xf>
    <xf numFmtId="0" fontId="0" fillId="0" borderId="6" xfId="0" applyBorder="1"/>
    <xf numFmtId="43" fontId="3" fillId="0" borderId="0" xfId="3" applyFont="1" applyFill="1" applyBorder="1"/>
    <xf numFmtId="14" fontId="0" fillId="0" borderId="1" xfId="0" applyNumberFormat="1" applyBorder="1"/>
    <xf numFmtId="4" fontId="0" fillId="0" borderId="1" xfId="0" applyNumberFormat="1" applyBorder="1"/>
    <xf numFmtId="170" fontId="0" fillId="0" borderId="1" xfId="0" applyNumberFormat="1" applyBorder="1"/>
    <xf numFmtId="1" fontId="0" fillId="0" borderId="1" xfId="0" applyNumberFormat="1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7" xfId="0" applyBorder="1" applyAlignment="1"/>
    <xf numFmtId="0" fontId="0" fillId="0" borderId="6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170" fontId="3" fillId="6" borderId="1" xfId="0" applyNumberFormat="1" applyFont="1" applyFill="1" applyBorder="1"/>
    <xf numFmtId="2" fontId="3" fillId="6" borderId="1" xfId="0" applyNumberFormat="1" applyFont="1" applyFill="1" applyBorder="1"/>
    <xf numFmtId="4" fontId="0" fillId="3" borderId="1" xfId="0" applyNumberFormat="1" applyFill="1" applyBorder="1"/>
    <xf numFmtId="0" fontId="3" fillId="6" borderId="1" xfId="0" applyFont="1" applyFill="1" applyBorder="1" applyAlignment="1">
      <alignment horizontal="center"/>
    </xf>
    <xf numFmtId="169" fontId="0" fillId="0" borderId="0" xfId="0" applyNumberFormat="1"/>
    <xf numFmtId="0" fontId="0" fillId="0" borderId="0" xfId="0" applyAlignment="1">
      <alignment horizontal="left" indent="1"/>
    </xf>
    <xf numFmtId="171" fontId="0" fillId="0" borderId="0" xfId="0" applyNumberFormat="1" applyAlignment="1">
      <alignment horizontal="left"/>
    </xf>
    <xf numFmtId="0" fontId="0" fillId="0" borderId="0" xfId="0" applyAlignment="1">
      <alignment horizontal="left" indent="2"/>
    </xf>
    <xf numFmtId="171" fontId="0" fillId="0" borderId="0" xfId="0" applyNumberFormat="1" applyAlignment="1">
      <alignment horizontal="left" indent="1"/>
    </xf>
    <xf numFmtId="43" fontId="0" fillId="0" borderId="0" xfId="4" applyFont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14" fontId="7" fillId="0" borderId="0" xfId="0" applyNumberFormat="1" applyFont="1" applyFill="1" applyBorder="1" applyAlignment="1">
      <alignment horizontal="center"/>
    </xf>
    <xf numFmtId="0" fontId="0" fillId="6" borderId="0" xfId="0" applyNumberFormat="1" applyFill="1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7" borderId="0" xfId="0" applyFill="1"/>
    <xf numFmtId="4" fontId="0" fillId="7" borderId="0" xfId="6" applyNumberFormat="1" applyFont="1" applyFill="1"/>
    <xf numFmtId="0" fontId="0" fillId="0" borderId="0" xfId="0" applyAlignment="1">
      <alignment horizontal="left"/>
    </xf>
    <xf numFmtId="4" fontId="0" fillId="0" borderId="0" xfId="0" applyNumberFormat="1"/>
    <xf numFmtId="0" fontId="0" fillId="7" borderId="0" xfId="0" applyNumberFormat="1" applyFill="1"/>
    <xf numFmtId="3" fontId="0" fillId="0" borderId="0" xfId="0" applyNumberFormat="1"/>
    <xf numFmtId="0" fontId="0" fillId="8" borderId="1" xfId="0" applyFill="1" applyBorder="1"/>
    <xf numFmtId="0" fontId="0" fillId="9" borderId="1" xfId="0" applyFill="1" applyBorder="1"/>
    <xf numFmtId="0" fontId="3" fillId="0" borderId="1" xfId="0" applyFont="1" applyBorder="1"/>
    <xf numFmtId="0" fontId="0" fillId="10" borderId="1" xfId="0" applyFill="1" applyBorder="1"/>
    <xf numFmtId="0" fontId="0" fillId="0" borderId="0" xfId="0"/>
    <xf numFmtId="0" fontId="3" fillId="0" borderId="0" xfId="0" applyFont="1" applyBorder="1"/>
    <xf numFmtId="0" fontId="0" fillId="0" borderId="0" xfId="0"/>
    <xf numFmtId="0" fontId="0" fillId="0" borderId="0" xfId="0" applyAlignment="1"/>
    <xf numFmtId="0" fontId="3" fillId="11" borderId="19" xfId="0" applyFont="1" applyFill="1" applyBorder="1"/>
    <xf numFmtId="0" fontId="0" fillId="0" borderId="22" xfId="0" applyBorder="1"/>
    <xf numFmtId="0" fontId="0" fillId="0" borderId="16" xfId="0" applyBorder="1"/>
    <xf numFmtId="0" fontId="0" fillId="0" borderId="24" xfId="0" applyBorder="1"/>
    <xf numFmtId="10" fontId="8" fillId="0" borderId="25" xfId="7" applyNumberFormat="1" applyFont="1" applyFill="1" applyBorder="1" applyAlignment="1">
      <alignment horizontal="center"/>
    </xf>
    <xf numFmtId="0" fontId="3" fillId="11" borderId="19" xfId="0" applyFont="1" applyFill="1" applyBorder="1" applyAlignment="1">
      <alignment horizontal="center"/>
    </xf>
    <xf numFmtId="0" fontId="3" fillId="11" borderId="20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10" fontId="3" fillId="11" borderId="21" xfId="7" applyNumberFormat="1" applyFont="1" applyFill="1" applyBorder="1" applyAlignment="1">
      <alignment horizontal="center"/>
    </xf>
    <xf numFmtId="3" fontId="0" fillId="3" borderId="12" xfId="0" applyNumberFormat="1" applyFont="1" applyFill="1" applyBorder="1" applyAlignment="1">
      <alignment horizontal="right"/>
    </xf>
    <xf numFmtId="3" fontId="0" fillId="3" borderId="4" xfId="0" applyNumberFormat="1" applyFont="1" applyFill="1" applyBorder="1" applyAlignment="1">
      <alignment horizontal="right"/>
    </xf>
    <xf numFmtId="3" fontId="3" fillId="11" borderId="20" xfId="0" applyNumberFormat="1" applyFont="1" applyFill="1" applyBorder="1"/>
    <xf numFmtId="3" fontId="0" fillId="3" borderId="23" xfId="0" applyNumberFormat="1" applyFont="1" applyFill="1" applyBorder="1" applyAlignment="1">
      <alignment horizontal="center"/>
    </xf>
    <xf numFmtId="3" fontId="0" fillId="3" borderId="1" xfId="0" applyNumberFormat="1" applyFon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8" fillId="3" borderId="1" xfId="0" applyNumberFormat="1" applyFont="1" applyFill="1" applyBorder="1" applyAlignment="1">
      <alignment horizontal="center"/>
    </xf>
    <xf numFmtId="3" fontId="0" fillId="3" borderId="17" xfId="0" applyNumberFormat="1" applyFill="1" applyBorder="1" applyAlignment="1">
      <alignment horizontal="center"/>
    </xf>
    <xf numFmtId="3" fontId="3" fillId="11" borderId="20" xfId="0" applyNumberFormat="1" applyFont="1" applyFill="1" applyBorder="1" applyAlignment="1">
      <alignment horizontal="center"/>
    </xf>
    <xf numFmtId="0" fontId="3" fillId="3" borderId="0" xfId="0" applyFont="1" applyFill="1" applyBorder="1"/>
    <xf numFmtId="3" fontId="3" fillId="3" borderId="0" xfId="0" applyNumberFormat="1" applyFont="1" applyFill="1" applyBorder="1"/>
    <xf numFmtId="3" fontId="3" fillId="3" borderId="0" xfId="0" applyNumberFormat="1" applyFont="1" applyFill="1" applyBorder="1" applyAlignment="1">
      <alignment horizontal="center"/>
    </xf>
    <xf numFmtId="10" fontId="3" fillId="3" borderId="0" xfId="7" applyNumberFormat="1" applyFont="1" applyFill="1" applyBorder="1" applyAlignment="1">
      <alignment horizontal="center"/>
    </xf>
    <xf numFmtId="0" fontId="3" fillId="11" borderId="28" xfId="0" applyFont="1" applyFill="1" applyBorder="1" applyAlignment="1">
      <alignment horizontal="center"/>
    </xf>
    <xf numFmtId="0" fontId="3" fillId="11" borderId="28" xfId="0" applyFont="1" applyFill="1" applyBorder="1"/>
    <xf numFmtId="3" fontId="0" fillId="0" borderId="12" xfId="0" applyNumberFormat="1" applyBorder="1"/>
    <xf numFmtId="3" fontId="0" fillId="0" borderId="4" xfId="0" applyNumberFormat="1" applyBorder="1"/>
    <xf numFmtId="3" fontId="0" fillId="0" borderId="8" xfId="0" applyNumberFormat="1" applyBorder="1"/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43" fontId="9" fillId="0" borderId="0" xfId="3" applyFont="1" applyFill="1" applyBorder="1" applyAlignment="1">
      <alignment horizontal="center"/>
    </xf>
    <xf numFmtId="2" fontId="9" fillId="0" borderId="0" xfId="3" applyNumberFormat="1" applyFont="1" applyFill="1" applyBorder="1" applyAlignment="1">
      <alignment horizontal="center"/>
    </xf>
    <xf numFmtId="171" fontId="9" fillId="0" borderId="0" xfId="3" applyNumberFormat="1" applyFont="1" applyFill="1" applyBorder="1" applyAlignment="1">
      <alignment horizontal="center"/>
    </xf>
    <xf numFmtId="14" fontId="0" fillId="0" borderId="0" xfId="0" applyNumberFormat="1"/>
    <xf numFmtId="37" fontId="0" fillId="0" borderId="0" xfId="0" applyNumberFormat="1"/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69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12" borderId="13" xfId="0" applyFont="1" applyFill="1" applyBorder="1" applyAlignment="1">
      <alignment horizontal="center" vertical="center"/>
    </xf>
    <xf numFmtId="0" fontId="3" fillId="12" borderId="26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2" borderId="27" xfId="0" applyFont="1" applyFill="1" applyBorder="1" applyAlignment="1">
      <alignment horizontal="center" vertical="center"/>
    </xf>
    <xf numFmtId="0" fontId="3" fillId="12" borderId="17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</cellXfs>
  <cellStyles count="8">
    <cellStyle name="Comma" xfId="4" builtinId="3"/>
    <cellStyle name="Moeda 2" xfId="1"/>
    <cellStyle name="Moeda 3" xfId="5"/>
    <cellStyle name="Normal" xfId="0" builtinId="0"/>
    <cellStyle name="Normal 2" xfId="2"/>
    <cellStyle name="Percent" xfId="7" builtinId="5"/>
    <cellStyle name="Separador de milhares 2" xfId="6"/>
    <cellStyle name="Vírgula 2" xfId="3"/>
  </cellStyles>
  <dxfs count="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1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1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72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2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relativeIndent="0" justifyLastLine="0" shrinkToFit="0" readingOrder="0"/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5" formatCode="#,##0_);\(#,##0\)"/>
    </dxf>
    <dxf>
      <numFmt numFmtId="166" formatCode="_(&quot;R$ &quot;* #,##0.00_);_(&quot;R$ &quot;* \(#,##0.00\);_(&quot;R$ &quot;* &quot;-&quot;??_);_(@_)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4" formatCode="#,##0.00"/>
    </dxf>
    <dxf>
      <numFmt numFmtId="5" formatCode="#,##0_);\(#,##0\)"/>
    </dxf>
    <dxf>
      <numFmt numFmtId="35" formatCode="_(* #,##0.00_);_(* \(#,##0.00\);_(* &quot;-&quot;??_);_(@_)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mruColors>
      <color rgb="FF00CC00"/>
      <color rgb="FF0066FF"/>
      <color rgb="FFFFFFFF"/>
      <color rgb="FF00FFFF"/>
      <color rgb="FF3184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02-01(FEV-1).xlsx]Novo Ranking 2013 E 2014!Tabela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Vendas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layout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5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2014'!$B$4:$B$5</c:f>
              <c:strCache>
                <c:ptCount val="1"/>
                <c:pt idx="0">
                  <c:v>Soma de VGV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2014'!$A$6:$A$13</c:f>
              <c:multiLvlStrCache>
                <c:ptCount val="6"/>
                <c:lvl>
                  <c:pt idx="0">
                    <c:v>MOSHE</c:v>
                  </c:pt>
                  <c:pt idx="1">
                    <c:v>VITOR</c:v>
                  </c:pt>
                  <c:pt idx="2">
                    <c:v>DOUGLAS</c:v>
                  </c:pt>
                  <c:pt idx="3">
                    <c:v>GIULIANO</c:v>
                  </c:pt>
                  <c:pt idx="4">
                    <c:v>JIMMY</c:v>
                  </c:pt>
                  <c:pt idx="5">
                    <c:v>ABILIO</c:v>
                  </c:pt>
                </c:lvl>
                <c:lvl>
                  <c:pt idx="0">
                    <c:v>DIRETA</c:v>
                  </c:pt>
                </c:lvl>
              </c:multiLvlStrCache>
            </c:multiLvlStrRef>
          </c:cat>
          <c:val>
            <c:numRef>
              <c:f>'Novo Ranking 2013 E 2014'!$B$6:$B$13</c:f>
              <c:numCache>
                <c:formatCode>_(* #,##0.00_);_(* \(#,##0.00\);_(* "-"??_);_(@_)</c:formatCode>
                <c:ptCount val="6"/>
                <c:pt idx="0">
                  <c:v>3044537</c:v>
                </c:pt>
                <c:pt idx="1">
                  <c:v>981000</c:v>
                </c:pt>
                <c:pt idx="2">
                  <c:v>483529.12</c:v>
                </c:pt>
                <c:pt idx="3">
                  <c:v>479400</c:v>
                </c:pt>
                <c:pt idx="4">
                  <c:v>345960</c:v>
                </c:pt>
                <c:pt idx="5">
                  <c:v>126350</c:v>
                </c:pt>
              </c:numCache>
            </c:numRef>
          </c:val>
        </c:ser>
        <c:ser>
          <c:idx val="1"/>
          <c:order val="1"/>
          <c:tx>
            <c:strRef>
              <c:f>'Novo Ranking 2013 E 2014'!$C$4:$C$5</c:f>
              <c:strCache>
                <c:ptCount val="1"/>
                <c:pt idx="0">
                  <c:v>Soma de Vendas</c:v>
                </c:pt>
              </c:strCache>
            </c:strRef>
          </c:tx>
          <c:cat>
            <c:multiLvlStrRef>
              <c:f>'Novo Ranking 2013 E 2014'!$A$6:$A$13</c:f>
              <c:multiLvlStrCache>
                <c:ptCount val="6"/>
                <c:lvl>
                  <c:pt idx="0">
                    <c:v>MOSHE</c:v>
                  </c:pt>
                  <c:pt idx="1">
                    <c:v>VITOR</c:v>
                  </c:pt>
                  <c:pt idx="2">
                    <c:v>DOUGLAS</c:v>
                  </c:pt>
                  <c:pt idx="3">
                    <c:v>GIULIANO</c:v>
                  </c:pt>
                  <c:pt idx="4">
                    <c:v>JIMMY</c:v>
                  </c:pt>
                  <c:pt idx="5">
                    <c:v>ABILIO</c:v>
                  </c:pt>
                </c:lvl>
                <c:lvl>
                  <c:pt idx="0">
                    <c:v>DIRETA</c:v>
                  </c:pt>
                </c:lvl>
              </c:multiLvlStrCache>
            </c:multiLvlStrRef>
          </c:cat>
          <c:val>
            <c:numRef>
              <c:f>'Novo Ranking 2013 E 2014'!$C$6:$C$13</c:f>
              <c:numCache>
                <c:formatCode>General</c:formatCode>
                <c:ptCount val="6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451" footer="0.3149606200000145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02-01(FEV-1).xlsx]Novo Ranking 2013 E 2014!Tabela dinâmica6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Revenda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dLbl>
          <c:idx val="0"/>
          <c:layout>
            <c:manualLayout>
              <c:x val="-8.600851029984885E-2"/>
              <c:y val="-0.38868365412656752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2014'!$B$25:$B$26</c:f>
              <c:strCache>
                <c:ptCount val="1"/>
                <c:pt idx="0">
                  <c:v>Soma de VGV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2014'!$A$27:$A$29</c:f>
              <c:multiLvlStrCache>
                <c:ptCount val="1"/>
                <c:lvl>
                  <c:pt idx="0">
                    <c:v>IMOB. T. - ROSE</c:v>
                  </c:pt>
                </c:lvl>
                <c:lvl>
                  <c:pt idx="0">
                    <c:v>REVENDA</c:v>
                  </c:pt>
                </c:lvl>
              </c:multiLvlStrCache>
            </c:multiLvlStrRef>
          </c:cat>
          <c:val>
            <c:numRef>
              <c:f>'Novo Ranking 2013 E 2014'!$B$27:$B$29</c:f>
              <c:numCache>
                <c:formatCode>#,##0.00</c:formatCode>
                <c:ptCount val="1"/>
                <c:pt idx="0">
                  <c:v>392523.62</c:v>
                </c:pt>
              </c:numCache>
            </c:numRef>
          </c:val>
        </c:ser>
        <c:ser>
          <c:idx val="1"/>
          <c:order val="1"/>
          <c:tx>
            <c:strRef>
              <c:f>'Novo Ranking 2013 E 2014'!$C$25:$C$26</c:f>
              <c:strCache>
                <c:ptCount val="1"/>
                <c:pt idx="0">
                  <c:v>Soma de Vendas</c:v>
                </c:pt>
              </c:strCache>
            </c:strRef>
          </c:tx>
          <c:cat>
            <c:multiLvlStrRef>
              <c:f>'Novo Ranking 2013 E 2014'!$A$27:$A$29</c:f>
              <c:multiLvlStrCache>
                <c:ptCount val="1"/>
                <c:lvl>
                  <c:pt idx="0">
                    <c:v>IMOB. T. - ROSE</c:v>
                  </c:pt>
                </c:lvl>
                <c:lvl>
                  <c:pt idx="0">
                    <c:v>REVENDA</c:v>
                  </c:pt>
                </c:lvl>
              </c:multiLvlStrCache>
            </c:multiLvlStrRef>
          </c:cat>
          <c:val>
            <c:numRef>
              <c:f>'Novo Ranking 2013 E 2014'!$C$27:$C$29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44" footer="0.3149606200000144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02-01(FEV-1).xlsx]Novo Ranking 2013 E 2014!Tabela dinâmica7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t-BR"/>
              <a:t>Terceiros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555555555555556"/>
          <c:y val="0.19432888597258677"/>
          <c:w val="0.58602909011373583"/>
          <c:h val="0.75474518810151625"/>
        </c:manualLayout>
      </c:layout>
      <c:pie3DChart>
        <c:varyColors val="1"/>
        <c:ser>
          <c:idx val="0"/>
          <c:order val="0"/>
          <c:tx>
            <c:strRef>
              <c:f>'Novo Ranking 2013 E 2014'!$B$40:$B$41</c:f>
              <c:strCache>
                <c:ptCount val="1"/>
                <c:pt idx="0">
                  <c:v>Soma de VGV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2014'!$A$42:$A$47</c:f>
              <c:multiLvlStrCache>
                <c:ptCount val="3"/>
                <c:lvl>
                  <c:pt idx="0">
                    <c:v>IMOB. T. - MAX</c:v>
                  </c:pt>
                  <c:pt idx="1">
                    <c:v>IMOB. T. - FERNANDO</c:v>
                  </c:pt>
                  <c:pt idx="2">
                    <c:v>IMOB. T. - MACHADO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2014'!$B$42:$B$47</c:f>
              <c:numCache>
                <c:formatCode>#,##0.00</c:formatCode>
                <c:ptCount val="3"/>
                <c:pt idx="0">
                  <c:v>1062000</c:v>
                </c:pt>
                <c:pt idx="1">
                  <c:v>484575</c:v>
                </c:pt>
                <c:pt idx="2">
                  <c:v>126350</c:v>
                </c:pt>
              </c:numCache>
            </c:numRef>
          </c:val>
        </c:ser>
        <c:ser>
          <c:idx val="1"/>
          <c:order val="1"/>
          <c:tx>
            <c:strRef>
              <c:f>'Novo Ranking 2013 E 2014'!$C$40:$C$41</c:f>
              <c:strCache>
                <c:ptCount val="1"/>
                <c:pt idx="0">
                  <c:v>Soma de Vendas</c:v>
                </c:pt>
              </c:strCache>
            </c:strRef>
          </c:tx>
          <c:cat>
            <c:multiLvlStrRef>
              <c:f>'Novo Ranking 2013 E 2014'!$A$42:$A$47</c:f>
              <c:multiLvlStrCache>
                <c:ptCount val="3"/>
                <c:lvl>
                  <c:pt idx="0">
                    <c:v>IMOB. T. - MAX</c:v>
                  </c:pt>
                  <c:pt idx="1">
                    <c:v>IMOB. T. - FERNANDO</c:v>
                  </c:pt>
                  <c:pt idx="2">
                    <c:v>IMOB. T. - MACHADO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2014'!$C$42:$C$47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44" footer="0.314960620000014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352426</xdr:colOff>
      <xdr:row>1</xdr:row>
      <xdr:rowOff>66675</xdr:rowOff>
    </xdr:from>
    <xdr:to>
      <xdr:col>21</xdr:col>
      <xdr:colOff>552450</xdr:colOff>
      <xdr:row>18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18</xdr:row>
      <xdr:rowOff>152400</xdr:rowOff>
    </xdr:from>
    <xdr:to>
      <xdr:col>21</xdr:col>
      <xdr:colOff>533400</xdr:colOff>
      <xdr:row>33</xdr:row>
      <xdr:rowOff>133350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371475</xdr:colOff>
      <xdr:row>34</xdr:row>
      <xdr:rowOff>28575</xdr:rowOff>
    </xdr:from>
    <xdr:to>
      <xdr:col>21</xdr:col>
      <xdr:colOff>523876</xdr:colOff>
      <xdr:row>49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runo" refreshedDate="41695.667187268518" createdVersion="3" refreshedVersion="4" minRefreshableVersion="3" recordCount="23">
  <cacheSource type="worksheet">
    <worksheetSource name="Tabela1"/>
  </cacheSource>
  <cacheFields count="12">
    <cacheField name="Empreendimento" numFmtId="0">
      <sharedItems containsBlank="1" count="53">
        <s v="AMISTÁ BOSQUE LAZER"/>
        <s v="PASSEIO DO BOSQUE - BONFIGLIOLI"/>
        <s v="NOW STUDIOS IPIRANGA"/>
        <s v="BOULEVARD LAPA"/>
        <s v="AVANTI CLUBE"/>
        <s v="STATION OFFICES SAÚDE"/>
        <s v="AMISTÁ SPECIAL RESORT"/>
        <s v="TONS DA VILLA"/>
        <s v="DECOR PARAÍSO"/>
        <s v="AMISTA BOSQUE LAZER" u="1"/>
        <m u="1"/>
        <s v="NOVO JARDIM VIP" u="1"/>
        <s v="AQUARELLE " u="1"/>
        <s v="VILLA VARANDA" u="1"/>
        <s v="VILLA VARANDA " u="1"/>
        <s v="                          " u="1"/>
        <s v="GALLERY OFFICES" u="1"/>
        <s v="AVANTI GUARULHOS" u="1"/>
        <s v="PIAZZA SUPREMA" u="1"/>
        <s v="PIAZZA SUPREMA " u="1"/>
        <s v="NEW STATION " u="1"/>
        <s v="HOST PARAÍSO" u="1"/>
        <s v="AMISTA SPECIAL RESORT " u="1"/>
        <s v="CLASS VARANDA MARIANA" u="1"/>
        <s v="AVANTI VIDA" u="1"/>
        <s v="AVANTI VIDA " u="1"/>
        <s v="STATION OFFICES " u="1"/>
        <s v="ARES DO PARQUE ACLIMAÇÃO" u="1"/>
        <s v="ESTILO JARDINS" u="1"/>
        <s v="MERIDIANO" u="1"/>
        <s v="HOST PARAISO" u="1"/>
        <s v="NOVO JARDIM" u="1"/>
        <s v="NOVO JARDIM " u="1"/>
        <s v="PASSEIO DO BOSQUE" u="1"/>
        <s v="COSMOPOLITAN" u="1"/>
        <s v="COSMOPOLITAN " u="1"/>
        <s v="AMISTA BOSQUE &amp; LAZER" u="1"/>
        <s v="COSMOPOLITAN HIGH GARDEN" u="1"/>
        <s v="NOVA AMERICA " u="1"/>
        <s v="TONS DA VILLA " u="1"/>
        <s v="FAMÍLIA IPIRANGA" u="1"/>
        <s v="DECOR PARAISO" u="1"/>
        <s v="CLASS VARANDA MARIANA " u="1"/>
        <s v="NEW STATION VILA CLEMENTINO" u="1"/>
        <s v="AMISTA SPECIAL RESORT" u="1"/>
        <s v="VIVA" u="1"/>
        <s v="AVANTI GUARULHOS " u="1"/>
        <s v="AVANTI CLUBE " u="1"/>
        <s v="NOW ALTO DA BOA VISTA" u="1"/>
        <s v="ARES DO PARQUE" u="1"/>
        <s v="ARES DO PARQUE " u="1"/>
        <s v="FAMILIA IPIRANGA " u="1"/>
        <s v="ESCRITÓRIO SANTANA" u="1"/>
      </sharedItems>
    </cacheField>
    <cacheField name="Torre" numFmtId="0">
      <sharedItems/>
    </cacheField>
    <cacheField name="Unidade" numFmtId="1">
      <sharedItems containsSemiMixedTypes="0" containsString="0" containsNumber="1" containsInteger="1" minValue="5" maxValue="1706"/>
    </cacheField>
    <cacheField name="Tipo de Venda" numFmtId="1">
      <sharedItems containsBlank="1" count="7">
        <s v="DIRETA"/>
        <s v="TERCEIROS"/>
        <s v="REVENDA"/>
        <m u="1"/>
        <s v="IMOB. TERCEIROS" u="1"/>
        <s v="VENDAS" u="1"/>
        <s v="VENDA" u="1"/>
      </sharedItems>
    </cacheField>
    <cacheField name="Estilo Venda" numFmtId="1">
      <sharedItems containsBlank="1" count="4">
        <s v="ESTOQUE"/>
        <s v="LANÇAMENTO"/>
        <s v="REVENDA"/>
        <m u="1"/>
      </sharedItems>
    </cacheField>
    <cacheField name="Data da Venda" numFmtId="14">
      <sharedItems containsSemiMixedTypes="0" containsNonDate="0" containsDate="1" containsString="0" minDate="2013-01-06T00:00:00" maxDate="2014-02-14T00:00:00" count="270"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3-10-24T00:00:00" u="1"/>
        <d v="2013-08-03T00:00:00" u="1"/>
        <d v="2014-01-14T00:00:00" u="1"/>
        <d v="2013-04-16T00:00:00" u="1"/>
        <d v="2013-11-05T00:00:00" u="1"/>
        <d v="2013-07-18T00:00:00" u="1"/>
        <d v="2013-01-10T00:00:00" u="1"/>
        <d v="2013-04-12T00:00:00" u="1"/>
        <d v="2013-11-01T00:00:00" u="1"/>
        <d v="2013-07-14T00:00:00" u="1"/>
        <d v="2013-03-27T00:00:00" u="1"/>
        <d v="2013-10-16T00:00:00" u="1"/>
        <d v="2013-01-06T00:00:00" u="1"/>
        <d v="2014-01-06T00:00:00" u="1"/>
        <d v="2013-04-08T00:00:00" u="1"/>
        <d v="2013-07-10T00:00:00" u="1"/>
        <d v="2013-03-23T00:00:00" u="1"/>
        <d v="2013-06-25T00:00:00" u="1"/>
        <d v="2014-01-02T00:00:00" u="1"/>
        <d v="2013-07-06T00:00:00" u="1"/>
        <d v="2013-03-19T00:00:00" u="1"/>
        <d v="2013-10-08T00:00:00" u="1"/>
        <d v="2013-06-21T00:00:00" u="1"/>
        <d v="2013-07-02T00:00:00" u="1"/>
        <d v="2013-03-15T00:00:00" u="1"/>
        <d v="2013-06-17T00:00:00" u="1"/>
        <d v="2013-12-21T00:00:00" u="1"/>
        <d v="2013-03-11T00:00:00" u="1"/>
        <d v="2013-02-26T00:00:00" u="1"/>
        <d v="2013-05-28T00:00:00" u="1"/>
        <d v="2013-12-17T00:00:00" u="1"/>
        <d v="2013-03-07T00:00:00" u="1"/>
        <d v="2013-08-30T00:00:00" u="1"/>
        <d v="2013-06-09T00:00:00" u="1"/>
        <d v="2013-09-11T00:00:00" u="1"/>
        <d v="2013-05-24T00:00:00" u="1"/>
        <d v="2013-12-13T00:00:00" u="1"/>
        <d v="2013-03-03T00:00:00" u="1"/>
        <d v="2013-06-05T00:00:00" u="1"/>
        <d v="2013-11-28T00:00:00" u="1"/>
        <d v="2013-02-18T00:00:00" u="1"/>
        <d v="2013-05-20T00:00:00" u="1"/>
        <d v="2013-12-09T00:00:00" u="1"/>
        <d v="2013-08-22T00:00:00" u="1"/>
        <d v="2013-11-24T00:00:00" u="1"/>
        <d v="2013-02-14T00:00:00" u="1"/>
        <d v="2013-09-03T00:00:00" u="1"/>
        <d v="2013-01-29T00:00:00" u="1"/>
        <d v="2013-12-05T00:00:00" u="1"/>
        <d v="2013-08-18T00:00:00" u="1"/>
        <d v="2014-01-29T00:00:00" u="1"/>
        <d v="2013-11-20T00:00:00" u="1"/>
        <d v="2013-02-10T00:00:00" u="1"/>
        <d v="2013-05-12T00:00:00" u="1"/>
        <d v="2014-01-25T00:00:00" u="1"/>
        <d v="2013-04-27T00:00:00" u="1"/>
        <d v="2013-11-16T00:00:00" u="1"/>
        <d v="2013-07-29T00:00:00" u="1"/>
        <d v="2013-05-08T00:00:00" u="1"/>
        <d v="2013-10-31T00:00:00" u="1"/>
        <d v="2013-01-21T00:00:00" u="1"/>
        <d v="2014-01-21T00:00:00" u="1"/>
        <d v="2013-04-23T00:00:00" u="1"/>
        <d v="2013-11-12T00:00:00" u="1"/>
        <d v="2013-02-02T00:00:00" u="1"/>
        <d v="2013-05-04T00:00:00" u="1"/>
        <d v="2013-10-27T00:00:00" u="1"/>
        <d v="2013-08-06T00:00:00" u="1"/>
        <d v="2013-04-19T00:00:00" u="1"/>
        <d v="2013-01-13T00:00:00" u="1"/>
        <d v="2014-01-13T00:00:00" u="1"/>
        <d v="2013-11-04T00:00:00" u="1"/>
        <d v="2013-07-17T00:00:00" u="1"/>
        <d v="2013-01-09T00:00:00" u="1"/>
        <d v="2013-04-11T00:00:00" u="1"/>
        <d v="2013-07-13T00:00:00" u="1"/>
        <d v="2013-10-15T00:00:00" u="1"/>
        <d v="2013-06-28T00:00:00" u="1"/>
        <d v="2014-01-05T00:00:00" u="1"/>
        <d v="2013-04-07T00:00:00" u="1"/>
        <d v="2013-07-09T00:00:00" u="1"/>
        <d v="2013-10-11T00:00:00" u="1"/>
        <d v="2013-06-24T00:00:00" u="1"/>
        <d v="2013-07-05T00:00:00" u="1"/>
        <d v="2013-03-18T00:00:00" u="1"/>
        <d v="2013-10-07T00:00:00" u="1"/>
        <d v="2013-06-20T00:00:00" u="1"/>
        <d v="2013-09-22T00:00:00" u="1"/>
        <d v="2013-07-01T00:00:00" u="1"/>
        <d v="2013-03-14T00:00:00" u="1"/>
        <d v="2013-10-03T00:00:00" u="1"/>
        <d v="2013-06-16T00:00:00" u="1"/>
        <d v="2013-09-18T00:00:00" u="1"/>
        <d v="2013-05-31T00:00:00" u="1"/>
        <d v="2013-03-10T00:00:00" u="1"/>
        <d v="2013-06-12T00:00:00" u="1"/>
        <d v="2013-02-25T00:00:00" u="1"/>
        <d v="2013-09-14T00:00:00" u="1"/>
        <d v="2013-05-27T00:00:00" u="1"/>
        <d v="2013-12-16T00:00:00" u="1"/>
        <d v="2013-08-29T00:00:00" u="1"/>
        <d v="2013-02-21T00:00:00" u="1"/>
        <d v="2013-09-10T00:00:00" u="1"/>
        <d v="2013-05-23T00:00:00" u="1"/>
        <d v="2013-12-12T00:00:00" u="1"/>
        <d v="2013-03-02T00:00:00" u="1"/>
        <d v="2013-08-25T00:00:00" u="1"/>
        <d v="2013-06-04T00:00:00" u="1"/>
        <d v="2013-11-27T00:00:00" u="1"/>
        <d v="2013-05-19T00:00:00" u="1"/>
        <d v="2013-08-21T00:00:00" u="1"/>
        <d v="2013-11-23T00:00:00" u="1"/>
        <d v="2013-09-02T00:00:00" u="1"/>
        <d v="2013-01-28T00:00:00" u="1"/>
        <d v="2013-12-04T00:00:00" u="1"/>
        <d v="2013-04-30T00:00:00" u="1"/>
        <d v="2013-11-19T00:00:00" u="1"/>
        <d v="2013-01-24T00:00:00" u="1"/>
        <d v="2014-01-24T00:00:00" u="1"/>
        <d v="2013-04-26T00:00:00" u="1"/>
        <d v="2013-11-15T00:00:00" u="1"/>
        <d v="2013-07-28T00:00:00" u="1"/>
        <d v="2013-05-07T00:00:00" u="1"/>
        <d v="2013-10-30T00:00:00" u="1"/>
        <d v="2014-01-20T00:00:00" u="1"/>
        <d v="2013-04-22T00:00:00" u="1"/>
        <d v="2013-11-11T00:00:00" u="1"/>
        <d v="2013-02-01T00:00:00" u="1"/>
        <d v="2013-05-03T00:00:00" u="1"/>
        <d v="2013-01-16T00:00:00" u="1"/>
        <d v="2014-01-16T00:00:00" u="1"/>
        <d v="2013-11-07T00:00:00" u="1"/>
        <d v="2013-08-01T00:00:00" u="1"/>
        <d v="2014-01-12T00:00:00" u="1"/>
        <d v="2013-04-14T00:00:00" u="1"/>
        <d v="2013-11-03T00:00:00" u="1"/>
        <d v="2013-07-16T00:00:00" u="1"/>
        <d v="2013-10-18T00:00:00" u="1"/>
        <d v="2014-01-08T00:00:00" u="1"/>
        <d v="2013-04-10T00:00:00" u="1"/>
        <d v="2013-07-12T00:00:00" u="1"/>
        <d v="2013-03-25T00:00:00" u="1"/>
        <d v="2013-10-14T00:00:00" u="1"/>
        <d v="2013-06-27T00:00:00" u="1"/>
        <d v="2013-04-06T00:00:00" u="1"/>
        <d v="2013-09-29T00:00:00" u="1"/>
        <d v="2013-07-08T00:00:00" u="1"/>
        <d v="2013-03-21T00:00:00" u="1"/>
        <d v="2013-10-10T00:00:00" u="1"/>
        <d v="2013-06-23T00:00:00" u="1"/>
        <d v="2013-09-25T00:00:00" u="1"/>
        <d v="2013-03-17T00:00:00" u="1"/>
        <d v="2013-06-19T00:00:00" u="1"/>
        <d v="2013-09-21T00:00:00" u="1"/>
        <d v="2013-03-13T00:00:00" u="1"/>
        <d v="2013-02-28T00:00:00" u="1"/>
        <d v="2013-09-17T00:00:00" u="1"/>
        <d v="2013-05-30T00:00:00" u="1"/>
        <d v="2013-12-19T00:00:00" u="1"/>
        <d v="2013-06-11T00:00:00" u="1"/>
        <d v="2013-02-24T00:00:00" u="1"/>
        <d v="2013-09-13T00:00:00" u="1"/>
        <d v="2013-05-26T00:00:00" u="1"/>
        <d v="2013-12-15T00:00:00" u="1"/>
        <d v="2013-08-28T00:00:00" u="1"/>
        <d v="2013-11-30T00:00:00" u="1"/>
        <d v="2013-09-09T00:00:00" u="1"/>
        <d v="2013-05-22T00:00:00" u="1"/>
        <d v="2013-12-11T00:00:00" u="1"/>
        <d v="2013-03-01T00:00:00" u="1"/>
        <d v="2013-11-26T00:00:00" u="1"/>
        <d v="2013-05-18T00:00:00" u="1"/>
        <d v="2013-01-31T00:00:00" u="1"/>
        <d v="2013-12-07T00:00:00" u="1"/>
        <d v="2013-08-20T00:00:00" u="1"/>
        <d v="2014-01-31T00:00:00" u="1"/>
        <d v="2013-11-22T00:00:00" u="1"/>
        <d v="2013-05-14T00:00:00" u="1"/>
        <d v="2013-01-27T00:00:00" u="1"/>
        <d v="2013-12-03T00:00:00" u="1"/>
        <d v="2013-08-16T00:00:00" u="1"/>
        <d v="2013-11-18T00:00:00" u="1"/>
        <d v="2013-02-08T00:00:00" u="1"/>
        <d v="2013-07-31T00:00:00" u="1"/>
        <d v="2013-05-10T00:00:00" u="1"/>
        <d v="2013-01-23T00:00:00" u="1"/>
        <d v="2013-08-12T00:00:00" u="1"/>
        <d v="2014-01-23T00:00:00" u="1"/>
        <d v="2013-04-25T00:00:00" u="1"/>
        <d v="2013-11-14T00:00:00" u="1"/>
        <d v="2013-02-04T00:00:00" u="1"/>
        <d v="2013-05-06T00:00:00" u="1"/>
        <d v="2013-10-29T00:00:00" u="1"/>
        <d v="2013-01-19T00:00:00" u="1"/>
        <d v="2014-01-19T00:00:00" u="1"/>
        <d v="2013-11-10T00:00:00" u="1"/>
        <d v="2013-07-23T00:00:00" u="1"/>
        <d v="2013-05-02T00:00:00" u="1"/>
        <d v="2013-10-25T00:00:00" u="1"/>
        <d v="2014-01-15T00:00:00" u="1"/>
        <d v="2013-04-17T00:00:00" u="1"/>
        <d v="2013-11-06T00:00:00" u="1"/>
        <d v="2013-10-21T00:00:00" u="1"/>
        <d v="2013-04-13T00:00:00" u="1"/>
        <d v="2013-11-02T00:00:00" u="1"/>
        <d v="2013-07-15T00:00:00" u="1"/>
        <d v="2013-03-28T00:00:00" u="1"/>
        <d v="2013-01-07T00:00:00" u="1"/>
        <d v="2013-06-30T00:00:00" u="1"/>
        <d v="2014-01-07T00:00:00" u="1"/>
        <d v="2013-04-09T00:00:00" u="1"/>
        <d v="2013-07-11T00:00:00" u="1"/>
        <d v="2013-03-24T00:00:00" u="1"/>
        <d v="2013-10-13T00:00:00" u="1"/>
        <d v="2013-06-26T00:00:00" u="1"/>
        <d v="2013-04-05T00:00:00" u="1"/>
        <d v="2013-09-28T00:00:00" u="1"/>
        <d v="2013-07-07T00:00:00" u="1"/>
        <d v="2013-09-24T00:00:00" u="1"/>
        <d v="2013-07-03T00:00:00" u="1"/>
        <d v="2013-10-05T00:00:00" u="1"/>
        <d v="2013-10-01T00:00:00" u="1"/>
        <d v="2013-06-14T00:00:00" u="1"/>
        <d v="2013-02-27T00:00:00" u="1"/>
        <d v="2013-05-29T00:00:00" u="1"/>
        <d v="2013-08-31T00:00:00" u="1"/>
        <d v="2013-09-12T00:00:00" u="1"/>
        <d v="2013-03-04T00:00:00" u="1"/>
        <d v="2013-08-27T00:00:00" u="1"/>
        <d v="2013-06-06T00:00:00" u="1"/>
        <d v="2013-11-29T00:00:00" u="1"/>
        <d v="2013-02-19T00:00:00" u="1"/>
        <d v="2013-09-08T00:00:00" u="1"/>
        <d v="2013-05-21T00:00:00" u="1"/>
        <d v="2013-12-10T00:00:00" u="1"/>
        <d v="2013-08-23T00:00:00" u="1"/>
        <d v="2013-11-25T00:00:00" u="1"/>
        <d v="2013-09-04T00:00:00" u="1"/>
        <d v="2013-05-17T00:00:00" u="1"/>
        <d v="2013-01-30T00:00:00" u="1"/>
        <d v="2013-12-06T00:00:00" u="1"/>
        <d v="2013-08-19T00:00:00" u="1"/>
        <d v="2013-11-21T00:00:00" u="1"/>
        <d v="2013-05-13T00:00:00" u="1"/>
        <d v="2013-12-02T00:00:00" u="1"/>
        <d v="2013-08-15T00:00:00" u="1"/>
        <d v="2014-01-26T00:00:00" u="1"/>
        <d v="2013-11-17T00:00:00" u="1"/>
        <d v="2013-02-07T00:00:00" u="1"/>
        <d v="2013-07-30T00:00:00" u="1"/>
        <d v="2013-05-09T00:00:00" u="1"/>
        <d v="2013-01-22T00:00:00" u="1"/>
        <d v="2013-08-11T00:00:00" u="1"/>
        <d v="2014-01-22T00:00:00" u="1"/>
        <d v="2013-11-13T00:00:00" u="1"/>
        <d v="2013-02-03T00:00:00" u="1"/>
        <d v="2013-07-26T00:00:00" u="1"/>
        <d v="2013-05-05T00:00:00" u="1"/>
        <d v="2013-07-22T00:00:00" u="1"/>
      </sharedItems>
    </cacheField>
    <cacheField name="Nome" numFmtId="14">
      <sharedItems containsBlank="1" count="227">
        <s v="MAGAL"/>
        <s v="IMOB. T. - FERNANDO"/>
        <s v="NATAL"/>
        <s v="CAROL"/>
        <s v="LUSIMERE"/>
        <s v="ERNESTO"/>
        <s v="MARTA"/>
        <s v="VITÓRIA"/>
        <s v="IMOB. T. - MAX"/>
        <s v="MARINA"/>
        <s v="MARIANA"/>
        <s v="GISELE"/>
        <s v="IMOB. T. - ROSE"/>
        <s v="IMOB. T. - MACHADO"/>
        <s v="ERICA"/>
        <s v="NEIVA"/>
        <s v="IZABEL"/>
        <m u="1"/>
        <s v="TOME" u="1"/>
        <s v="ANDREYA" u="1"/>
        <s v="AUGUSTO" u="1"/>
        <s v="ESTHER" u="1"/>
        <s v="CASAR" u="1"/>
        <s v="DENNIS" u="1"/>
        <s v="ANDRE" u="1"/>
        <s v="IDALICE" u="1"/>
        <s v="DIEGO" u="1"/>
        <s v="DIEGO " u="1"/>
        <s v="ANSELMO" u="1"/>
        <s v="SUZUKI" u="1"/>
        <s v="JANAINA" u="1"/>
        <s v="ANA" u="1"/>
        <s v="LIANY" u="1"/>
        <s v="SYLMARA" u="1"/>
        <s v="COELHO" u="1"/>
        <s v="FANY" u="1"/>
        <s v="IMOB. T - MAX" u="1"/>
        <s v="BIANCO" u="1"/>
        <s v="CAIO" u="1"/>
        <s v="LEONEL" u="1"/>
        <s v="RAPHAEL" u="1"/>
        <s v="TROIA" u="1"/>
        <s v="PEIXOTO" u="1"/>
        <s v="FERNANDA" u="1"/>
        <s v="VALMIR" u="1"/>
        <s v="IVONE" u="1"/>
        <s v="VITORIA" u="1"/>
        <s v="LIZ" u="1"/>
        <s v="ALVARO" u="1"/>
        <s v="MIRIAM" u="1"/>
        <s v="MAIA" u="1"/>
        <s v="VANIA" u="1"/>
        <s v="VANIA " u="1"/>
        <s v="MICHEL" u="1"/>
        <s v="PATRICIA" u="1"/>
        <s v="SENNA" u="1"/>
        <s v="GREGORIO" u="1"/>
        <s v="IRINEU" u="1"/>
        <s v="EVITA" u="1"/>
        <s v="SERGIO" u="1"/>
        <s v="MARRONE" u="1"/>
        <s v="CHANNEL" u="1"/>
        <s v="RODRIGUES" u="1"/>
        <s v="ARIANE" u="1"/>
        <s v="CRIS" u="1"/>
        <s v="SOLANGE" u="1"/>
        <s v="FARIA" u="1"/>
        <s v="DENISE" u="1"/>
        <s v="FARIA " u="1"/>
        <s v="FREIRE" u="1"/>
        <s v="MITUI" u="1"/>
        <s v="FELIPE" u="1"/>
        <s v="MADONA" u="1"/>
        <s v="CAITANO" u="1"/>
        <s v="DIAS" u="1"/>
        <s v="ROBERTO" u="1"/>
        <s v="NEUZZA" u="1"/>
        <s v="SUELI" u="1"/>
        <s v="VERA" u="1"/>
        <s v="GLASER" u="1"/>
        <s v="OLAVO" u="1"/>
        <s v="BLUMA" u="1"/>
        <s v="NETHO" u="1"/>
        <s v="SILVIA" u="1"/>
        <s v="NOGUEIRA" u="1"/>
        <s v="FERRARI" u="1"/>
        <s v="SARAIVA" u="1"/>
        <s v="CACAU" u="1"/>
        <s v="EMILIO" u="1"/>
        <s v="GARCIA" u="1"/>
        <s v="CESAR" u="1"/>
        <s v="IMOBILIARIA TERCEIROS - FERNANDO" u="1"/>
        <s v="BENTO" u="1"/>
        <s v="SIMONE" u="1"/>
        <s v="KATE" u="1"/>
        <s v="MEL" u="1"/>
        <s v="TONY" u="1"/>
        <s v="CLEO" u="1"/>
        <s v="SUSANA" u="1"/>
        <s v="MARCELO" u="1"/>
        <s v="THIAGO" u="1"/>
        <s v="WILLIAM" u="1"/>
        <s v="AMANDA" u="1"/>
        <s v="KELI" u="1"/>
        <s v="WILLIAN" u="1"/>
        <s v="KHAL" u="1"/>
        <s v="ANTUNIETA" u="1"/>
        <s v="BRUNO" u="1"/>
        <s v="BRUNO " u="1"/>
        <s v="EDSON" u="1"/>
        <s v="SUZANA" u="1"/>
        <s v="CIDA" u="1"/>
        <s v="EDUARDO" u="1"/>
        <s v="CARLOS" u="1"/>
        <s v="JULIANA" u="1"/>
        <s v="IMOB. T. - BLUMA" u="1"/>
        <s v="IMOB. T. - HUDSON" u="1"/>
        <s v="ADRIANO " u="1"/>
        <s v="HAMILTON" u="1"/>
        <s v="REYNALDO" u="1"/>
        <s v="ROSE" u="1"/>
        <s v="CRISTIANO" u="1"/>
        <s v="RONALDO" u="1"/>
        <s v="KEIKO" u="1"/>
        <s v="ALEXANDRE" u="1"/>
        <s v="ALEXANDRE " u="1"/>
        <s v="NEUZA" u="1"/>
        <s v="IMOBILIARIA TERCEIROS" u="1"/>
        <s v="VICINO" u="1"/>
        <s v="AMARILIS" u="1"/>
        <s v="NIL" u="1"/>
        <s v="MATIAS" u="1"/>
        <s v="GALILEU" u="1"/>
        <s v="LUDMILLA" u="1"/>
        <s v="JONAS" u="1"/>
        <s v="JADE" u="1"/>
        <s v="TOBIAS" u="1"/>
        <s v="GASPAR" u="1"/>
        <s v="DANIELA" u="1"/>
        <s v="CLAUDIA" u="1"/>
        <s v="DANTE" u="1"/>
        <s v="LUIZA" u="1"/>
        <s v="BRUNA" u="1"/>
        <s v="LEANDRO" u="1"/>
        <s v="LIBERATO" u="1"/>
        <s v="TINO" u="1"/>
        <s v="MALU" u="1"/>
        <s v="HAROLDO" u="1"/>
        <s v="ITAMAR" u="1"/>
        <s v="ROGERIO" u="1"/>
        <s v="AILTON" u="1"/>
        <s v="JOSELIA" u="1"/>
        <s v="HORTENCIA" u="1"/>
        <s v="FATIMA" u="1"/>
        <s v="ARAUJO" u="1"/>
        <s v="ISABEL" u="1"/>
        <s v="LUCIA" u="1"/>
        <s v="MATHEUS" u="1"/>
        <s v="CABRAL" u="1"/>
        <s v="JOAL" u="1"/>
        <s v="CAXAMBU" u="1"/>
        <s v="MATHEUS(1)" u="1"/>
        <s v="IMOB. T - FERNANDO" u="1"/>
        <s v="GUILHERMINA" u="1"/>
        <s v="MYUNG" u="1"/>
        <s v="CRISTINA" u="1"/>
        <s v="IRENE" u="1"/>
        <s v="PADUA" u="1"/>
        <s v="MATILDES" u="1"/>
        <s v="LUIZ" u="1"/>
        <s v="IRIS" u="1"/>
        <s v="ARETHA" u="1"/>
        <s v="GIMENEZ" u="1"/>
        <s v="TILICO" u="1"/>
        <s v="TILICO " u="1"/>
        <s v="TATYANA" u="1"/>
        <s v="ENZO" u="1"/>
        <s v="VINNI" u="1"/>
        <s v="CLAUDIO" u="1"/>
        <s v="MAURICIO" u="1"/>
        <s v="IMOB. T. - FALCÃO" u="1"/>
        <s v="IMOBILIARIA TERCEIROS - MACHADO" u="1"/>
        <s v="IMOBILIÁRIA TERCEIROS - MACHADO" u="1"/>
        <s v="ERCIO" u="1"/>
        <s v="BACCAN" u="1"/>
        <s v="MEDEIROS" u="1"/>
        <s v="JORGE" u="1"/>
        <s v="SOUZA" u="1"/>
        <s v="DAMIÃO" u="1"/>
        <s v="VAZ" u="1"/>
        <s v="TALES" u="1"/>
        <s v="NEIVA " u="1"/>
        <s v="GISELE " u="1"/>
        <s v="RENATO" u="1"/>
        <s v="ROMULO" u="1"/>
        <s v="COSTA" u="1"/>
        <s v="JULINHO" u="1"/>
        <s v="MIL" u="1"/>
        <s v="CLARA" u="1"/>
        <s v="CAMIS" u="1"/>
        <s v="JAIME" u="1"/>
        <s v="KAMILA" u="1"/>
        <s v="AFRAH" u="1"/>
        <s v="ARTTE " u="1"/>
        <s v="JAIME " u="1"/>
        <s v="IMOB. T - MACHADO" u="1"/>
        <s v="EVA" u="1"/>
        <s v="HELOISA" u="1"/>
        <s v="MARCIA" u="1"/>
        <s v="ANDERSON" u="1"/>
        <s v="JOÃO" u="1"/>
        <s v="Bonafé" u="1"/>
        <s v="CARINA" u="1"/>
        <s v="MAURO" u="1"/>
        <s v="RAFAEL" u="1"/>
        <s v="GILDA" u="1"/>
        <s v="GILDA " u="1"/>
        <s v="GUSTAVO" u="1"/>
        <s v="GILBERTO" u="1"/>
        <s v="DEBORA" u="1"/>
        <s v="SILVA" u="1"/>
        <s v="FLAVIO" u="1"/>
        <s v="VALENTINA" u="1"/>
        <s v="HANNAH" u="1"/>
        <s v="QUEIROZ" u="1"/>
        <s v="PATRICIO" u="1"/>
        <s v="IMOBILIARIA TERCEIROS - FALCÃO" u="1"/>
      </sharedItems>
    </cacheField>
    <cacheField name="Gerente" numFmtId="43">
      <sharedItems containsMixedTypes="1" containsNumber="1" containsInteger="1" minValue="0" maxValue="0" count="9">
        <s v="VITOR"/>
        <s v="BONAFE"/>
        <s v="MOSHE"/>
        <s v="JIMMY"/>
        <s v="GIULIANO"/>
        <s v="LOURENÇO"/>
        <s v="ABILIO"/>
        <s v="DOUGLAS"/>
        <n v="0" u="1"/>
      </sharedItems>
    </cacheField>
    <cacheField name="VGV" numFmtId="43">
      <sharedItems containsSemiMixedTypes="0" containsString="0" containsNumber="1" minValue="126350" maxValue="659000"/>
    </cacheField>
    <cacheField name="Vendas" numFmtId="2">
      <sharedItems containsSemiMixedTypes="0" containsString="0" containsNumber="1" minValue="0.5" maxValue="1" count="2">
        <n v="1"/>
        <n v="0.5"/>
      </sharedItems>
    </cacheField>
    <cacheField name="mês" numFmtId="171">
      <sharedItems containsSemiMixedTypes="0" containsString="0" containsNumber="1" containsInteger="1" minValue="1" maxValue="12" count="12">
        <n v="2"/>
        <n v="11" u="1"/>
        <n v="12" u="1"/>
        <n v="6" u="1"/>
        <n v="3" u="1"/>
        <n v="7" u="1"/>
        <n v="8" u="1"/>
        <n v="4" u="1"/>
        <n v="9" u="1"/>
        <n v="1" u="1"/>
        <n v="10" u="1"/>
        <n v="5" u="1"/>
      </sharedItems>
    </cacheField>
    <cacheField name="Ano" numFmtId="171">
      <sharedItems containsSemiMixedTypes="0" containsString="0" containsNumber="1" containsInteger="1" minValue="1900" maxValue="5013" count="5">
        <n v="2014"/>
        <n v="5013" u="1"/>
        <n v="1900" u="1"/>
        <n v="2012" u="1"/>
        <n v="2013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s v="Acácia"/>
    <n v="92"/>
    <x v="0"/>
    <x v="0"/>
    <x v="0"/>
    <x v="0"/>
    <x v="0"/>
    <n v="240000"/>
    <x v="0"/>
    <x v="0"/>
    <x v="0"/>
  </r>
  <r>
    <x v="1"/>
    <s v="Cedro"/>
    <n v="42"/>
    <x v="1"/>
    <x v="1"/>
    <x v="1"/>
    <x v="1"/>
    <x v="1"/>
    <n v="484575"/>
    <x v="0"/>
    <x v="0"/>
    <x v="0"/>
  </r>
  <r>
    <x v="1"/>
    <s v="Oliveira"/>
    <n v="63"/>
    <x v="0"/>
    <x v="1"/>
    <x v="1"/>
    <x v="2"/>
    <x v="0"/>
    <n v="545700"/>
    <x v="0"/>
    <x v="0"/>
    <x v="0"/>
  </r>
  <r>
    <x v="1"/>
    <s v="Cedro"/>
    <n v="18"/>
    <x v="0"/>
    <x v="1"/>
    <x v="2"/>
    <x v="3"/>
    <x v="2"/>
    <n v="365500"/>
    <x v="0"/>
    <x v="0"/>
    <x v="0"/>
  </r>
  <r>
    <x v="2"/>
    <s v="Now Studios Ipiranga"/>
    <n v="1705"/>
    <x v="0"/>
    <x v="1"/>
    <x v="2"/>
    <x v="4"/>
    <x v="2"/>
    <n v="350300"/>
    <x v="0"/>
    <x v="0"/>
    <x v="0"/>
  </r>
  <r>
    <x v="1"/>
    <s v="Oliveira"/>
    <n v="11"/>
    <x v="0"/>
    <x v="1"/>
    <x v="3"/>
    <x v="3"/>
    <x v="2"/>
    <n v="406237"/>
    <x v="0"/>
    <x v="0"/>
    <x v="0"/>
  </r>
  <r>
    <x v="1"/>
    <s v="Oliveira"/>
    <n v="68"/>
    <x v="0"/>
    <x v="1"/>
    <x v="3"/>
    <x v="5"/>
    <x v="2"/>
    <n v="425000"/>
    <x v="0"/>
    <x v="0"/>
    <x v="0"/>
  </r>
  <r>
    <x v="3"/>
    <s v="Origens Lapa"/>
    <n v="132"/>
    <x v="0"/>
    <x v="1"/>
    <x v="3"/>
    <x v="6"/>
    <x v="2"/>
    <n v="659000"/>
    <x v="0"/>
    <x v="0"/>
    <x v="0"/>
  </r>
  <r>
    <x v="2"/>
    <s v="Now Studios Ipiranga"/>
    <n v="1706"/>
    <x v="0"/>
    <x v="1"/>
    <x v="3"/>
    <x v="7"/>
    <x v="3"/>
    <n v="345960"/>
    <x v="0"/>
    <x v="0"/>
    <x v="0"/>
  </r>
  <r>
    <x v="4"/>
    <s v="Acqua"/>
    <n v="5"/>
    <x v="1"/>
    <x v="0"/>
    <x v="4"/>
    <x v="8"/>
    <x v="1"/>
    <n v="240500"/>
    <x v="0"/>
    <x v="0"/>
    <x v="0"/>
  </r>
  <r>
    <x v="1"/>
    <s v="Cedro"/>
    <n v="32"/>
    <x v="0"/>
    <x v="1"/>
    <x v="5"/>
    <x v="9"/>
    <x v="4"/>
    <n v="239700"/>
    <x v="1"/>
    <x v="0"/>
    <x v="0"/>
  </r>
  <r>
    <x v="1"/>
    <s v="Cedro"/>
    <n v="32"/>
    <x v="0"/>
    <x v="1"/>
    <x v="5"/>
    <x v="10"/>
    <x v="4"/>
    <n v="239700"/>
    <x v="1"/>
    <x v="0"/>
    <x v="0"/>
  </r>
  <r>
    <x v="1"/>
    <s v="Cedro"/>
    <n v="61"/>
    <x v="0"/>
    <x v="1"/>
    <x v="6"/>
    <x v="5"/>
    <x v="2"/>
    <n v="388500"/>
    <x v="0"/>
    <x v="0"/>
    <x v="0"/>
  </r>
  <r>
    <x v="0"/>
    <s v="Cambuí"/>
    <n v="27"/>
    <x v="0"/>
    <x v="0"/>
    <x v="7"/>
    <x v="0"/>
    <x v="0"/>
    <n v="195300"/>
    <x v="0"/>
    <x v="0"/>
    <x v="0"/>
  </r>
  <r>
    <x v="0"/>
    <s v="Flamboyant"/>
    <n v="66"/>
    <x v="0"/>
    <x v="0"/>
    <x v="7"/>
    <x v="11"/>
    <x v="2"/>
    <n v="240000"/>
    <x v="0"/>
    <x v="0"/>
    <x v="0"/>
  </r>
  <r>
    <x v="5"/>
    <s v="Única"/>
    <n v="408"/>
    <x v="2"/>
    <x v="2"/>
    <x v="7"/>
    <x v="12"/>
    <x v="5"/>
    <n v="392523.62"/>
    <x v="0"/>
    <x v="0"/>
    <x v="0"/>
  </r>
  <r>
    <x v="6"/>
    <s v="AMIZADE"/>
    <n v="107"/>
    <x v="1"/>
    <x v="0"/>
    <x v="8"/>
    <x v="8"/>
    <x v="1"/>
    <n v="273500"/>
    <x v="0"/>
    <x v="0"/>
    <x v="0"/>
  </r>
  <r>
    <x v="7"/>
    <s v="Única"/>
    <n v="18"/>
    <x v="1"/>
    <x v="0"/>
    <x v="9"/>
    <x v="8"/>
    <x v="1"/>
    <n v="343000"/>
    <x v="0"/>
    <x v="0"/>
    <x v="0"/>
  </r>
  <r>
    <x v="0"/>
    <s v="Acácia"/>
    <n v="72"/>
    <x v="1"/>
    <x v="0"/>
    <x v="9"/>
    <x v="13"/>
    <x v="1"/>
    <n v="126350"/>
    <x v="1"/>
    <x v="0"/>
    <x v="0"/>
  </r>
  <r>
    <x v="0"/>
    <s v="Acácia"/>
    <n v="72"/>
    <x v="0"/>
    <x v="0"/>
    <x v="9"/>
    <x v="14"/>
    <x v="6"/>
    <n v="126350"/>
    <x v="1"/>
    <x v="0"/>
    <x v="0"/>
  </r>
  <r>
    <x v="0"/>
    <s v="Buriti"/>
    <n v="23"/>
    <x v="1"/>
    <x v="0"/>
    <x v="9"/>
    <x v="8"/>
    <x v="1"/>
    <n v="205000"/>
    <x v="0"/>
    <x v="0"/>
    <x v="0"/>
  </r>
  <r>
    <x v="8"/>
    <s v="Única"/>
    <n v="31"/>
    <x v="0"/>
    <x v="0"/>
    <x v="9"/>
    <x v="15"/>
    <x v="7"/>
    <n v="483529.12"/>
    <x v="0"/>
    <x v="0"/>
    <x v="0"/>
  </r>
  <r>
    <x v="0"/>
    <s v="Cambuí"/>
    <n v="128"/>
    <x v="0"/>
    <x v="0"/>
    <x v="10"/>
    <x v="16"/>
    <x v="2"/>
    <n v="21000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22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J6:L22" firstHeaderRow="1" firstDataRow="2" firstDataCol="1" rowPageCount="2" colPageCount="1"/>
  <pivotFields count="12">
    <pivotField showAll="0"/>
    <pivotField showAll="0"/>
    <pivotField showAll="0"/>
    <pivotField axis="axisRow" showAll="0" sortType="descending">
      <items count="8">
        <item h="1" m="1" x="3"/>
        <item m="1" x="5"/>
        <item m="1" x="6"/>
        <item h="1" x="1"/>
        <item h="1" x="2"/>
        <item h="1" m="1" x="4"/>
        <item x="0"/>
        <item t="default"/>
      </items>
    </pivotField>
    <pivotField showAll="0"/>
    <pivotField numFmtId="14" showAll="0"/>
    <pivotField axis="axisRow" showAll="0" sortType="descending">
      <items count="228">
        <item m="1" x="117"/>
        <item m="1" x="202"/>
        <item m="1" x="150"/>
        <item m="1" x="124"/>
        <item m="1" x="125"/>
        <item m="1" x="48"/>
        <item m="1" x="102"/>
        <item m="1" x="129"/>
        <item m="1" x="31"/>
        <item m="1" x="209"/>
        <item m="1" x="24"/>
        <item m="1" x="19"/>
        <item m="1" x="28"/>
        <item m="1" x="106"/>
        <item m="1" x="154"/>
        <item m="1" x="171"/>
        <item m="1" x="63"/>
        <item m="1" x="203"/>
        <item m="1" x="20"/>
        <item m="1" x="184"/>
        <item m="1" x="92"/>
        <item m="1" x="37"/>
        <item m="1" x="81"/>
        <item m="1" x="211"/>
        <item m="1" x="142"/>
        <item m="1" x="107"/>
        <item m="1" x="108"/>
        <item m="1" x="158"/>
        <item m="1" x="87"/>
        <item m="1" x="38"/>
        <item m="1" x="73"/>
        <item m="1" x="199"/>
        <item m="1" x="212"/>
        <item m="1" x="113"/>
        <item x="3"/>
        <item m="1" x="22"/>
        <item m="1" x="160"/>
        <item m="1" x="90"/>
        <item m="1" x="61"/>
        <item m="1" x="111"/>
        <item m="1" x="198"/>
        <item m="1" x="139"/>
        <item m="1" x="178"/>
        <item m="1" x="97"/>
        <item m="1" x="34"/>
        <item m="1" x="195"/>
        <item m="1" x="64"/>
        <item m="1" x="121"/>
        <item m="1" x="165"/>
        <item m="1" x="188"/>
        <item m="1" x="138"/>
        <item m="1" x="140"/>
        <item m="1" x="219"/>
        <item m="1" x="67"/>
        <item m="1" x="23"/>
        <item m="1" x="74"/>
        <item m="1" x="26"/>
        <item m="1" x="27"/>
        <item m="1" x="109"/>
        <item m="1" x="112"/>
        <item m="1" x="88"/>
        <item m="1" x="176"/>
        <item m="1" x="183"/>
        <item x="14"/>
        <item x="5"/>
        <item m="1" x="21"/>
        <item m="1" x="206"/>
        <item m="1" x="58"/>
        <item m="1" x="35"/>
        <item m="1" x="66"/>
        <item m="1" x="68"/>
        <item m="1" x="153"/>
        <item m="1" x="71"/>
        <item m="1" x="43"/>
        <item m="1" x="85"/>
        <item m="1" x="221"/>
        <item m="1" x="69"/>
        <item m="1" x="132"/>
        <item m="1" x="89"/>
        <item m="1" x="137"/>
        <item m="1" x="218"/>
        <item m="1" x="215"/>
        <item m="1" x="216"/>
        <item m="1" x="172"/>
        <item x="11"/>
        <item m="1" x="192"/>
        <item m="1" x="79"/>
        <item m="1" x="56"/>
        <item m="1" x="163"/>
        <item m="1" x="217"/>
        <item m="1" x="118"/>
        <item m="1" x="223"/>
        <item m="1" x="147"/>
        <item m="1" x="207"/>
        <item m="1" x="152"/>
        <item m="1" x="25"/>
        <item m="1" x="162"/>
        <item m="1" x="205"/>
        <item m="1" x="36"/>
        <item m="1" x="115"/>
        <item m="1" x="180"/>
        <item x="1"/>
        <item m="1" x="116"/>
        <item x="13"/>
        <item x="8"/>
        <item x="12"/>
        <item m="1" x="127"/>
        <item m="1" x="226"/>
        <item m="1" x="91"/>
        <item m="1" x="181"/>
        <item m="1" x="182"/>
        <item m="1" x="166"/>
        <item m="1" x="57"/>
        <item m="1" x="170"/>
        <item m="1" x="148"/>
        <item m="1" x="45"/>
        <item m="1" x="135"/>
        <item m="1" x="200"/>
        <item m="1" x="204"/>
        <item m="1" x="30"/>
        <item m="1" x="159"/>
        <item m="1" x="210"/>
        <item m="1" x="134"/>
        <item m="1" x="186"/>
        <item m="1" x="151"/>
        <item m="1" x="114"/>
        <item m="1" x="196"/>
        <item m="1" x="201"/>
        <item m="1" x="94"/>
        <item m="1" x="123"/>
        <item m="1" x="103"/>
        <item m="1" x="105"/>
        <item m="1" x="143"/>
        <item m="1" x="39"/>
        <item m="1" x="32"/>
        <item m="1" x="144"/>
        <item m="1" x="47"/>
        <item m="1" x="156"/>
        <item m="1" x="133"/>
        <item m="1" x="169"/>
        <item m="1" x="141"/>
        <item x="4"/>
        <item m="1" x="72"/>
        <item x="0"/>
        <item m="1" x="50"/>
        <item m="1" x="146"/>
        <item m="1" x="99"/>
        <item m="1" x="208"/>
        <item x="10"/>
        <item x="9"/>
        <item m="1" x="60"/>
        <item x="6"/>
        <item m="1" x="157"/>
        <item m="1" x="161"/>
        <item m="1" x="131"/>
        <item m="1" x="168"/>
        <item m="1" x="179"/>
        <item m="1" x="213"/>
        <item m="1" x="185"/>
        <item m="1" x="95"/>
        <item m="1" x="53"/>
        <item m="1" x="197"/>
        <item m="1" x="49"/>
        <item m="1" x="70"/>
        <item m="1" x="164"/>
        <item x="2"/>
        <item x="15"/>
        <item m="1" x="191"/>
        <item m="1" x="82"/>
        <item m="1" x="126"/>
        <item m="1" x="76"/>
        <item m="1" x="130"/>
        <item m="1" x="84"/>
        <item m="1" x="80"/>
        <item m="1" x="167"/>
        <item m="1" x="54"/>
        <item m="1" x="225"/>
        <item m="1" x="42"/>
        <item m="1" x="224"/>
        <item m="1" x="214"/>
        <item m="1" x="40"/>
        <item m="1" x="193"/>
        <item m="1" x="119"/>
        <item m="1" x="75"/>
        <item m="1" x="62"/>
        <item m="1" x="149"/>
        <item m="1" x="194"/>
        <item m="1" x="122"/>
        <item m="1" x="120"/>
        <item m="1" x="86"/>
        <item m="1" x="55"/>
        <item m="1" x="59"/>
        <item m="1" x="220"/>
        <item m="1" x="83"/>
        <item m="1" x="93"/>
        <item m="1" x="65"/>
        <item m="1" x="187"/>
        <item m="1" x="77"/>
        <item m="1" x="98"/>
        <item m="1" x="110"/>
        <item m="1" x="29"/>
        <item m="1" x="33"/>
        <item m="1" x="190"/>
        <item m="1" x="175"/>
        <item m="1" x="100"/>
        <item m="1" x="173"/>
        <item m="1" x="174"/>
        <item m="1" x="145"/>
        <item m="1" x="136"/>
        <item m="1" x="18"/>
        <item m="1" x="96"/>
        <item m="1" x="41"/>
        <item m="1" x="222"/>
        <item m="1" x="44"/>
        <item m="1" x="51"/>
        <item m="1" x="52"/>
        <item m="1" x="189"/>
        <item m="1" x="78"/>
        <item m="1" x="128"/>
        <item m="1" x="177"/>
        <item m="1" x="46"/>
        <item m="1" x="101"/>
        <item m="1" x="104"/>
        <item m="1" x="17"/>
        <item m="1" x="155"/>
        <item x="7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>
      <items count="3">
        <item x="1"/>
        <item x="0"/>
        <item t="default"/>
      </items>
    </pivotField>
    <pivotField axis="axisPage" numFmtId="171" multipleItemSelectionAllowed="1" showAll="0">
      <items count="13">
        <item m="1" x="9"/>
        <item x="0"/>
        <item m="1" x="4"/>
        <item m="1" x="7"/>
        <item m="1" x="11"/>
        <item m="1" x="3"/>
        <item m="1" x="5"/>
        <item m="1" x="6"/>
        <item m="1" x="8"/>
        <item m="1" x="10"/>
        <item m="1" x="1"/>
        <item m="1" x="2"/>
        <item t="default"/>
      </items>
    </pivotField>
    <pivotField axis="axisPage" numFmtId="171" multipleItemSelectionAllowed="1" showAll="0">
      <items count="6">
        <item m="1" x="2"/>
        <item m="1" x="3"/>
        <item h="1" m="1" x="4"/>
        <item m="1" x="1"/>
        <item x="0"/>
        <item t="default"/>
      </items>
    </pivotField>
  </pivotFields>
  <rowFields count="2">
    <field x="3"/>
    <field x="6"/>
  </rowFields>
  <rowItems count="15">
    <i>
      <x v="6"/>
    </i>
    <i r="1">
      <x v="64"/>
    </i>
    <i r="1">
      <x v="34"/>
    </i>
    <i r="1">
      <x v="151"/>
    </i>
    <i r="1">
      <x v="165"/>
    </i>
    <i r="1">
      <x v="166"/>
    </i>
    <i r="1">
      <x v="143"/>
    </i>
    <i r="1">
      <x v="141"/>
    </i>
    <i r="1">
      <x v="225"/>
    </i>
    <i r="1">
      <x v="84"/>
    </i>
    <i r="1">
      <x v="149"/>
    </i>
    <i r="1">
      <x v="148"/>
    </i>
    <i r="1">
      <x v="226"/>
    </i>
    <i r="1">
      <x v="63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6" baseItem="6" numFmtId="37"/>
    <dataField name="Soma de Vendas" fld="9" baseField="0" baseItem="0"/>
  </dataFields>
  <formats count="2">
    <format dxfId="7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6">
      <pivotArea outline="0" fieldPosition="0">
        <references count="1">
          <reference field="4294967294" count="1">
            <x v="0"/>
          </reference>
        </references>
      </pivotArea>
    </format>
  </formats>
  <conditionalFormats count="9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33">
              <x v="16"/>
              <x v="27"/>
              <x v="30"/>
              <x v="34"/>
              <x v="48"/>
              <x v="62"/>
              <x v="63"/>
              <x v="64"/>
              <x v="74"/>
              <x v="84"/>
              <x v="111"/>
              <x v="113"/>
              <x v="127"/>
              <x v="141"/>
              <x v="142"/>
              <x v="143"/>
              <x v="145"/>
              <x v="148"/>
              <x v="149"/>
              <x v="151"/>
              <x v="165"/>
              <x v="166"/>
              <x v="172"/>
              <x v="175"/>
              <x v="187"/>
              <x v="194"/>
              <x v="197"/>
              <x v="198"/>
              <x v="208"/>
              <x v="216"/>
              <x v="220"/>
              <x v="221"/>
              <x v="224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30">
              <x v="16"/>
              <x v="27"/>
              <x v="30"/>
              <x v="34"/>
              <x v="48"/>
              <x v="62"/>
              <x v="64"/>
              <x v="74"/>
              <x v="84"/>
              <x v="111"/>
              <x v="113"/>
              <x v="127"/>
              <x v="141"/>
              <x v="142"/>
              <x v="143"/>
              <x v="145"/>
              <x v="149"/>
              <x v="151"/>
              <x v="165"/>
              <x v="166"/>
              <x v="172"/>
              <x v="175"/>
              <x v="187"/>
              <x v="194"/>
              <x v="197"/>
              <x v="198"/>
              <x v="208"/>
              <x v="216"/>
              <x v="220"/>
              <x v="22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24">
              <x v="16"/>
              <x v="27"/>
              <x v="30"/>
              <x v="48"/>
              <x v="62"/>
              <x v="74"/>
              <x v="84"/>
              <x v="111"/>
              <x v="113"/>
              <x v="127"/>
              <x v="142"/>
              <x v="143"/>
              <x v="145"/>
              <x v="149"/>
              <x v="151"/>
              <x v="172"/>
              <x v="175"/>
              <x v="187"/>
              <x v="194"/>
              <x v="197"/>
              <x v="198"/>
              <x v="208"/>
              <x v="216"/>
              <x v="22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8">
              <x v="16"/>
              <x v="27"/>
              <x v="30"/>
              <x v="62"/>
              <x v="84"/>
              <x v="111"/>
              <x v="113"/>
              <x v="143"/>
              <x v="145"/>
              <x v="149"/>
              <x v="151"/>
              <x v="172"/>
              <x v="176"/>
              <x v="187"/>
              <x v="194"/>
              <x v="197"/>
              <x v="216"/>
              <x v="222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9">
              <x v="27"/>
              <x v="113"/>
              <x v="143"/>
              <x v="145"/>
              <x v="151"/>
              <x v="172"/>
              <x v="187"/>
              <x v="194"/>
              <x v="222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80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29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19"/>
              <x v="120"/>
              <x v="121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70"/>
              <x v="171"/>
              <x v="173"/>
              <x v="174"/>
              <x v="175"/>
              <x v="177"/>
              <x v="178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79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29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19"/>
              <x v="120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69"/>
              <x v="171"/>
              <x v="173"/>
              <x v="174"/>
              <x v="175"/>
              <x v="177"/>
              <x v="178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29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20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69"/>
              <x v="171"/>
              <x v="173"/>
              <x v="174"/>
              <x v="175"/>
              <x v="177"/>
              <x v="178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20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69"/>
              <x v="171"/>
              <x v="173"/>
              <x v="174"/>
              <x v="175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Tabela dinâmica2" cacheId="22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5:C34" firstHeaderRow="1" firstDataRow="2" firstDataCol="1" rowPageCount="2" colPageCount="1"/>
  <pivotFields count="12">
    <pivotField axis="axisRow" showAll="0">
      <items count="54">
        <item m="1" x="36"/>
        <item m="1" x="44"/>
        <item m="1" x="49"/>
        <item m="1" x="50"/>
        <item m="1" x="47"/>
        <item m="1" x="17"/>
        <item m="1" x="46"/>
        <item m="1" x="24"/>
        <item m="1" x="25"/>
        <item m="1" x="23"/>
        <item m="1" x="42"/>
        <item m="1" x="34"/>
        <item m="1" x="35"/>
        <item m="1" x="41"/>
        <item m="1" x="28"/>
        <item m="1" x="51"/>
        <item m="1" x="16"/>
        <item m="1" x="30"/>
        <item m="1" x="20"/>
        <item m="1" x="31"/>
        <item m="1" x="32"/>
        <item m="1" x="33"/>
        <item m="1" x="18"/>
        <item m="1" x="19"/>
        <item m="1" x="26"/>
        <item x="7"/>
        <item m="1" x="39"/>
        <item m="1" x="10"/>
        <item m="1" x="14"/>
        <item m="1" x="38"/>
        <item m="1" x="12"/>
        <item m="1" x="9"/>
        <item m="1" x="11"/>
        <item m="1" x="21"/>
        <item m="1" x="43"/>
        <item m="1" x="37"/>
        <item x="1"/>
        <item x="5"/>
        <item m="1" x="13"/>
        <item m="1" x="48"/>
        <item x="0"/>
        <item x="6"/>
        <item x="4"/>
        <item m="1" x="40"/>
        <item x="8"/>
        <item m="1" x="27"/>
        <item m="1" x="45"/>
        <item m="1" x="29"/>
        <item x="3"/>
        <item x="2"/>
        <item m="1" x="52"/>
        <item m="1" x="15"/>
        <item m="1" x="22"/>
        <item t="default"/>
      </items>
    </pivotField>
    <pivotField showAll="0"/>
    <pivotField showAll="0"/>
    <pivotField showAll="0"/>
    <pivotField axis="axisPage" multipleItemSelectionAllowed="1" showAll="0">
      <items count="5">
        <item x="0"/>
        <item h="1" x="1"/>
        <item h="1" x="2"/>
        <item h="1" m="1" x="3"/>
        <item t="default"/>
      </items>
    </pivotField>
    <pivotField showAll="0"/>
    <pivotField axis="axisRow" showAll="0">
      <items count="228">
        <item m="1" x="117"/>
        <item m="1" x="202"/>
        <item m="1" x="150"/>
        <item m="1" x="124"/>
        <item m="1" x="125"/>
        <item m="1" x="129"/>
        <item m="1" x="209"/>
        <item m="1" x="19"/>
        <item m="1" x="28"/>
        <item m="1" x="154"/>
        <item m="1" x="171"/>
        <item m="1" x="203"/>
        <item m="1" x="20"/>
        <item m="1" x="184"/>
        <item m="1" x="92"/>
        <item m="1" x="81"/>
        <item m="1" x="211"/>
        <item m="1" x="107"/>
        <item m="1" x="108"/>
        <item m="1" x="158"/>
        <item m="1" x="87"/>
        <item m="1" x="199"/>
        <item m="1" x="212"/>
        <item m="1" x="113"/>
        <item x="3"/>
        <item m="1" x="160"/>
        <item m="1" x="90"/>
        <item m="1" x="61"/>
        <item m="1" x="111"/>
        <item m="1" x="139"/>
        <item m="1" x="34"/>
        <item m="1" x="195"/>
        <item m="1" x="121"/>
        <item m="1" x="188"/>
        <item m="1" x="138"/>
        <item m="1" x="140"/>
        <item m="1" x="219"/>
        <item m="1" x="67"/>
        <item m="1" x="23"/>
        <item m="1" x="74"/>
        <item m="1" x="27"/>
        <item m="1" x="109"/>
        <item m="1" x="112"/>
        <item m="1" x="176"/>
        <item m="1" x="183"/>
        <item x="14"/>
        <item m="1" x="21"/>
        <item m="1" x="206"/>
        <item m="1" x="58"/>
        <item m="1" x="35"/>
        <item m="1" x="66"/>
        <item m="1" x="68"/>
        <item m="1" x="153"/>
        <item m="1" x="71"/>
        <item m="1" x="43"/>
        <item m="1" x="221"/>
        <item m="1" x="69"/>
        <item m="1" x="132"/>
        <item m="1" x="89"/>
        <item m="1" x="137"/>
        <item m="1" x="218"/>
        <item m="1" x="215"/>
        <item m="1" x="216"/>
        <item m="1" x="172"/>
        <item x="11"/>
        <item m="1" x="79"/>
        <item m="1" x="56"/>
        <item m="1" x="163"/>
        <item m="1" x="217"/>
        <item m="1" x="118"/>
        <item m="1" x="223"/>
        <item m="1" x="147"/>
        <item m="1" x="207"/>
        <item m="1" x="152"/>
        <item m="1" x="25"/>
        <item m="1" x="162"/>
        <item m="1" x="205"/>
        <item m="1" x="115"/>
        <item m="1" x="180"/>
        <item m="1" x="116"/>
        <item x="12"/>
        <item m="1" x="127"/>
        <item m="1" x="226"/>
        <item m="1" x="91"/>
        <item m="1" x="181"/>
        <item m="1" x="182"/>
        <item m="1" x="166"/>
        <item m="1" x="57"/>
        <item m="1" x="170"/>
        <item m="1" x="148"/>
        <item m="1" x="45"/>
        <item m="1" x="135"/>
        <item m="1" x="200"/>
        <item m="1" x="204"/>
        <item m="1" x="159"/>
        <item m="1" x="134"/>
        <item m="1" x="151"/>
        <item m="1" x="196"/>
        <item m="1" x="201"/>
        <item m="1" x="94"/>
        <item m="1" x="123"/>
        <item m="1" x="105"/>
        <item m="1" x="143"/>
        <item m="1" x="32"/>
        <item m="1" x="144"/>
        <item m="1" x="156"/>
        <item m="1" x="133"/>
        <item m="1" x="141"/>
        <item x="4"/>
        <item x="0"/>
        <item m="1" x="146"/>
        <item m="1" x="99"/>
        <item m="1" x="208"/>
        <item x="10"/>
        <item x="6"/>
        <item m="1" x="157"/>
        <item m="1" x="161"/>
        <item m="1" x="168"/>
        <item m="1" x="179"/>
        <item m="1" x="213"/>
        <item m="1" x="185"/>
        <item m="1" x="95"/>
        <item m="1" x="49"/>
        <item m="1" x="70"/>
        <item x="2"/>
        <item x="15"/>
        <item m="1" x="82"/>
        <item m="1" x="80"/>
        <item m="1" x="54"/>
        <item m="1" x="224"/>
        <item m="1" x="40"/>
        <item m="1" x="119"/>
        <item m="1" x="75"/>
        <item m="1" x="149"/>
        <item m="1" x="194"/>
        <item m="1" x="122"/>
        <item m="1" x="120"/>
        <item m="1" x="86"/>
        <item m="1" x="55"/>
        <item m="1" x="220"/>
        <item m="1" x="83"/>
        <item m="1" x="65"/>
        <item m="1" x="187"/>
        <item m="1" x="77"/>
        <item m="1" x="29"/>
        <item m="1" x="33"/>
        <item m="1" x="175"/>
        <item m="1" x="100"/>
        <item m="1" x="173"/>
        <item m="1" x="174"/>
        <item m="1" x="145"/>
        <item m="1" x="136"/>
        <item m="1" x="18"/>
        <item m="1" x="96"/>
        <item m="1" x="41"/>
        <item m="1" x="44"/>
        <item m="1" x="51"/>
        <item m="1" x="52"/>
        <item m="1" x="78"/>
        <item m="1" x="128"/>
        <item m="1" x="177"/>
        <item m="1" x="46"/>
        <item m="1" x="17"/>
        <item m="1" x="106"/>
        <item m="1" x="186"/>
        <item m="1" x="26"/>
        <item m="1" x="142"/>
        <item m="1" x="37"/>
        <item m="1" x="222"/>
        <item m="1" x="189"/>
        <item m="1" x="36"/>
        <item m="1" x="193"/>
        <item m="1" x="31"/>
        <item m="1" x="63"/>
        <item m="1" x="103"/>
        <item x="13"/>
        <item x="1"/>
        <item x="8"/>
        <item m="1" x="24"/>
        <item m="1" x="191"/>
        <item m="1" x="102"/>
        <item m="1" x="198"/>
        <item m="1" x="48"/>
        <item m="1" x="85"/>
        <item m="1" x="42"/>
        <item m="1" x="114"/>
        <item m="1" x="62"/>
        <item m="1" x="214"/>
        <item m="1" x="190"/>
        <item m="1" x="59"/>
        <item m="1" x="130"/>
        <item m="1" x="164"/>
        <item m="1" x="50"/>
        <item m="1" x="178"/>
        <item m="1" x="197"/>
        <item m="1" x="126"/>
        <item m="1" x="169"/>
        <item m="1" x="64"/>
        <item m="1" x="22"/>
        <item m="1" x="47"/>
        <item m="1" x="53"/>
        <item m="1" x="97"/>
        <item m="1" x="60"/>
        <item m="1" x="88"/>
        <item m="1" x="93"/>
        <item m="1" x="131"/>
        <item m="1" x="98"/>
        <item m="1" x="167"/>
        <item m="1" x="39"/>
        <item m="1" x="38"/>
        <item m="1" x="30"/>
        <item m="1" x="76"/>
        <item m="1" x="165"/>
        <item m="1" x="210"/>
        <item m="1" x="104"/>
        <item m="1" x="84"/>
        <item x="9"/>
        <item m="1" x="73"/>
        <item m="1" x="225"/>
        <item m="1" x="72"/>
        <item m="1" x="192"/>
        <item m="1" x="101"/>
        <item m="1" x="110"/>
        <item x="5"/>
        <item m="1" x="155"/>
        <item x="7"/>
        <item x="16"/>
        <item t="default"/>
      </items>
    </pivotField>
    <pivotField showAll="0"/>
    <pivotField dataField="1" showAll="0"/>
    <pivotField dataField="1" showAll="0"/>
    <pivotField axis="axisRow" showAll="0">
      <items count="13">
        <item m="1" x="9"/>
        <item x="0"/>
        <item m="1" x="4"/>
        <item m="1" x="7"/>
        <item m="1" x="11"/>
        <item m="1" x="3"/>
        <item m="1" x="5"/>
        <item m="1" x="6"/>
        <item m="1" x="8"/>
        <item m="1" x="10"/>
        <item m="1" x="1"/>
        <item m="1" x="2"/>
        <item t="default"/>
      </items>
    </pivotField>
    <pivotField axis="axisPage" showAll="0">
      <items count="6">
        <item m="1" x="2"/>
        <item m="1" x="3"/>
        <item m="1" x="4"/>
        <item m="1" x="1"/>
        <item x="0"/>
        <item t="default"/>
      </items>
    </pivotField>
  </pivotFields>
  <rowFields count="3">
    <field x="6"/>
    <field x="0"/>
    <field x="10"/>
  </rowFields>
  <rowItems count="28">
    <i>
      <x v="45"/>
    </i>
    <i r="1">
      <x v="40"/>
    </i>
    <i r="2">
      <x v="1"/>
    </i>
    <i>
      <x v="64"/>
    </i>
    <i r="1">
      <x v="40"/>
    </i>
    <i r="2">
      <x v="1"/>
    </i>
    <i>
      <x v="109"/>
    </i>
    <i r="1">
      <x v="40"/>
    </i>
    <i r="2">
      <x v="1"/>
    </i>
    <i>
      <x v="125"/>
    </i>
    <i r="1">
      <x v="44"/>
    </i>
    <i r="2">
      <x v="1"/>
    </i>
    <i>
      <x v="175"/>
    </i>
    <i r="1">
      <x v="40"/>
    </i>
    <i r="2">
      <x v="1"/>
    </i>
    <i>
      <x v="177"/>
    </i>
    <i r="1">
      <x v="25"/>
    </i>
    <i r="2">
      <x v="1"/>
    </i>
    <i r="1">
      <x v="40"/>
    </i>
    <i r="2">
      <x v="1"/>
    </i>
    <i r="1">
      <x v="41"/>
    </i>
    <i r="2">
      <x v="1"/>
    </i>
    <i r="1">
      <x v="42"/>
    </i>
    <i r="2">
      <x v="1"/>
    </i>
    <i>
      <x v="226"/>
    </i>
    <i r="1">
      <x v="40"/>
    </i>
    <i r="2">
      <x v="1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4" hier="-1"/>
  </pageFields>
  <dataFields count="2">
    <dataField name="Soma de VGV" fld="8" baseField="0" baseItem="0" numFmtId="4"/>
    <dataField name="Contar de Vendas" fld="9" subtotal="count" baseField="0" baseItem="0"/>
  </dataFields>
  <formats count="1">
    <format dxfId="2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Tabela dinâmica1" cacheId="22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3:A21" firstHeaderRow="1" firstDataRow="1" firstDataCol="1"/>
  <pivotFields count="12">
    <pivotField showAll="0"/>
    <pivotField showAll="0"/>
    <pivotField showAll="0"/>
    <pivotField showAll="0"/>
    <pivotField showAll="0"/>
    <pivotField numFmtId="14" showAll="0"/>
    <pivotField axis="axisRow" showAll="0">
      <items count="228">
        <item m="1" x="117"/>
        <item m="1" x="202"/>
        <item m="1" x="150"/>
        <item m="1" x="124"/>
        <item m="1" x="125"/>
        <item m="1" x="48"/>
        <item m="1" x="102"/>
        <item m="1" x="129"/>
        <item m="1" x="31"/>
        <item m="1" x="209"/>
        <item m="1" x="24"/>
        <item m="1" x="19"/>
        <item m="1" x="28"/>
        <item m="1" x="106"/>
        <item m="1" x="154"/>
        <item m="1" x="171"/>
        <item m="1" x="63"/>
        <item m="1" x="203"/>
        <item m="1" x="20"/>
        <item m="1" x="184"/>
        <item m="1" x="92"/>
        <item m="1" x="37"/>
        <item m="1" x="81"/>
        <item m="1" x="211"/>
        <item m="1" x="142"/>
        <item m="1" x="107"/>
        <item m="1" x="108"/>
        <item m="1" x="158"/>
        <item m="1" x="87"/>
        <item m="1" x="199"/>
        <item m="1" x="212"/>
        <item m="1" x="113"/>
        <item x="3"/>
        <item m="1" x="22"/>
        <item m="1" x="160"/>
        <item m="1" x="90"/>
        <item m="1" x="61"/>
        <item m="1" x="111"/>
        <item m="1" x="198"/>
        <item m="1" x="139"/>
        <item m="1" x="178"/>
        <item m="1" x="97"/>
        <item m="1" x="34"/>
        <item m="1" x="195"/>
        <item m="1" x="64"/>
        <item m="1" x="121"/>
        <item m="1" x="188"/>
        <item m="1" x="138"/>
        <item m="1" x="140"/>
        <item m="1" x="219"/>
        <item m="1" x="67"/>
        <item m="1" x="23"/>
        <item m="1" x="74"/>
        <item m="1" x="26"/>
        <item m="1" x="27"/>
        <item m="1" x="109"/>
        <item m="1" x="112"/>
        <item m="1" x="88"/>
        <item m="1" x="176"/>
        <item m="1" x="183"/>
        <item x="14"/>
        <item m="1" x="21"/>
        <item m="1" x="206"/>
        <item m="1" x="58"/>
        <item m="1" x="35"/>
        <item m="1" x="66"/>
        <item m="1" x="68"/>
        <item m="1" x="153"/>
        <item m="1" x="71"/>
        <item m="1" x="43"/>
        <item m="1" x="85"/>
        <item m="1" x="221"/>
        <item m="1" x="69"/>
        <item m="1" x="132"/>
        <item m="1" x="89"/>
        <item m="1" x="137"/>
        <item m="1" x="218"/>
        <item m="1" x="215"/>
        <item m="1" x="216"/>
        <item m="1" x="172"/>
        <item x="11"/>
        <item m="1" x="79"/>
        <item m="1" x="56"/>
        <item m="1" x="163"/>
        <item m="1" x="217"/>
        <item m="1" x="118"/>
        <item m="1" x="223"/>
        <item m="1" x="147"/>
        <item m="1" x="207"/>
        <item m="1" x="152"/>
        <item m="1" x="25"/>
        <item m="1" x="162"/>
        <item m="1" x="205"/>
        <item m="1" x="36"/>
        <item m="1" x="115"/>
        <item m="1" x="180"/>
        <item x="1"/>
        <item m="1" x="116"/>
        <item x="13"/>
        <item x="8"/>
        <item x="12"/>
        <item m="1" x="127"/>
        <item m="1" x="226"/>
        <item m="1" x="91"/>
        <item m="1" x="181"/>
        <item m="1" x="182"/>
        <item m="1" x="166"/>
        <item m="1" x="57"/>
        <item m="1" x="170"/>
        <item m="1" x="148"/>
        <item m="1" x="45"/>
        <item m="1" x="135"/>
        <item m="1" x="200"/>
        <item m="1" x="204"/>
        <item m="1" x="159"/>
        <item m="1" x="134"/>
        <item m="1" x="186"/>
        <item m="1" x="151"/>
        <item m="1" x="114"/>
        <item m="1" x="196"/>
        <item m="1" x="201"/>
        <item m="1" x="94"/>
        <item m="1" x="123"/>
        <item m="1" x="103"/>
        <item m="1" x="105"/>
        <item m="1" x="143"/>
        <item m="1" x="39"/>
        <item m="1" x="32"/>
        <item m="1" x="144"/>
        <item m="1" x="47"/>
        <item m="1" x="156"/>
        <item m="1" x="133"/>
        <item m="1" x="169"/>
        <item m="1" x="141"/>
        <item x="4"/>
        <item x="0"/>
        <item m="1" x="50"/>
        <item m="1" x="146"/>
        <item m="1" x="99"/>
        <item m="1" x="208"/>
        <item x="10"/>
        <item m="1" x="60"/>
        <item x="6"/>
        <item m="1" x="157"/>
        <item m="1" x="161"/>
        <item m="1" x="131"/>
        <item m="1" x="168"/>
        <item m="1" x="179"/>
        <item m="1" x="213"/>
        <item m="1" x="185"/>
        <item m="1" x="95"/>
        <item m="1" x="53"/>
        <item m="1" x="197"/>
        <item m="1" x="49"/>
        <item m="1" x="70"/>
        <item m="1" x="164"/>
        <item x="2"/>
        <item x="15"/>
        <item m="1" x="191"/>
        <item m="1" x="82"/>
        <item m="1" x="126"/>
        <item m="1" x="130"/>
        <item m="1" x="80"/>
        <item m="1" x="167"/>
        <item m="1" x="54"/>
        <item m="1" x="42"/>
        <item m="1" x="224"/>
        <item m="1" x="214"/>
        <item m="1" x="40"/>
        <item m="1" x="193"/>
        <item m="1" x="119"/>
        <item m="1" x="75"/>
        <item m="1" x="62"/>
        <item m="1" x="149"/>
        <item m="1" x="194"/>
        <item m="1" x="122"/>
        <item m="1" x="120"/>
        <item m="1" x="86"/>
        <item m="1" x="55"/>
        <item m="1" x="59"/>
        <item m="1" x="220"/>
        <item m="1" x="83"/>
        <item m="1" x="93"/>
        <item m="1" x="65"/>
        <item m="1" x="187"/>
        <item m="1" x="77"/>
        <item m="1" x="98"/>
        <item m="1" x="29"/>
        <item m="1" x="33"/>
        <item m="1" x="190"/>
        <item m="1" x="175"/>
        <item m="1" x="100"/>
        <item m="1" x="173"/>
        <item m="1" x="174"/>
        <item m="1" x="145"/>
        <item m="1" x="136"/>
        <item m="1" x="18"/>
        <item m="1" x="96"/>
        <item m="1" x="41"/>
        <item m="1" x="222"/>
        <item m="1" x="44"/>
        <item m="1" x="51"/>
        <item m="1" x="52"/>
        <item m="1" x="189"/>
        <item m="1" x="78"/>
        <item m="1" x="128"/>
        <item m="1" x="177"/>
        <item m="1" x="46"/>
        <item m="1" x="17"/>
        <item m="1" x="38"/>
        <item m="1" x="30"/>
        <item m="1" x="76"/>
        <item m="1" x="165"/>
        <item m="1" x="210"/>
        <item m="1" x="104"/>
        <item m="1" x="84"/>
        <item x="9"/>
        <item m="1" x="73"/>
        <item m="1" x="225"/>
        <item m="1" x="72"/>
        <item m="1" x="192"/>
        <item m="1" x="101"/>
        <item m="1" x="110"/>
        <item x="5"/>
        <item m="1" x="155"/>
        <item x="7"/>
        <item x="16"/>
        <item t="default"/>
      </items>
    </pivotField>
    <pivotField showAll="0"/>
    <pivotField showAll="0"/>
    <pivotField showAll="0"/>
    <pivotField numFmtId="171" showAll="0"/>
    <pivotField numFmtId="171" showAll="0"/>
  </pivotFields>
  <rowFields count="1">
    <field x="6"/>
  </rowFields>
  <rowItems count="18">
    <i>
      <x v="32"/>
    </i>
    <i>
      <x v="60"/>
    </i>
    <i>
      <x v="80"/>
    </i>
    <i>
      <x v="96"/>
    </i>
    <i>
      <x v="98"/>
    </i>
    <i>
      <x v="99"/>
    </i>
    <i>
      <x v="100"/>
    </i>
    <i>
      <x v="134"/>
    </i>
    <i>
      <x v="135"/>
    </i>
    <i>
      <x v="140"/>
    </i>
    <i>
      <x v="142"/>
    </i>
    <i>
      <x v="156"/>
    </i>
    <i>
      <x v="157"/>
    </i>
    <i>
      <x v="216"/>
    </i>
    <i>
      <x v="223"/>
    </i>
    <i>
      <x v="225"/>
    </i>
    <i>
      <x v="226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Tabela dinâmica1" cacheId="22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4:C6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0"/>
        <item x="1"/>
        <item x="2"/>
        <item m="1" x="3"/>
        <item t="default"/>
      </items>
    </pivotField>
    <pivotField numFmtId="14" showAll="0"/>
    <pivotField axis="axisRow" showAll="0" sortType="descending">
      <items count="228">
        <item m="1" x="117"/>
        <item m="1" x="202"/>
        <item m="1" x="150"/>
        <item m="1" x="124"/>
        <item m="1" x="125"/>
        <item m="1" x="48"/>
        <item m="1" x="102"/>
        <item m="1" x="129"/>
        <item m="1" x="31"/>
        <item m="1" x="209"/>
        <item m="1" x="24"/>
        <item m="1" x="19"/>
        <item m="1" x="28"/>
        <item m="1" x="106"/>
        <item m="1" x="154"/>
        <item m="1" x="171"/>
        <item m="1" x="63"/>
        <item m="1" x="203"/>
        <item m="1" x="20"/>
        <item m="1" x="184"/>
        <item m="1" x="92"/>
        <item m="1" x="37"/>
        <item m="1" x="81"/>
        <item m="1" x="211"/>
        <item m="1" x="142"/>
        <item m="1" x="107"/>
        <item m="1" x="108"/>
        <item m="1" x="158"/>
        <item m="1" x="87"/>
        <item m="1" x="38"/>
        <item m="1" x="199"/>
        <item m="1" x="212"/>
        <item m="1" x="113"/>
        <item x="3"/>
        <item m="1" x="22"/>
        <item m="1" x="160"/>
        <item m="1" x="90"/>
        <item m="1" x="61"/>
        <item m="1" x="111"/>
        <item m="1" x="198"/>
        <item m="1" x="139"/>
        <item m="1" x="178"/>
        <item m="1" x="97"/>
        <item m="1" x="34"/>
        <item m="1" x="195"/>
        <item m="1" x="64"/>
        <item m="1" x="121"/>
        <item m="1" x="165"/>
        <item m="1" x="188"/>
        <item m="1" x="138"/>
        <item m="1" x="140"/>
        <item m="1" x="219"/>
        <item m="1" x="67"/>
        <item m="1" x="23"/>
        <item m="1" x="74"/>
        <item m="1" x="26"/>
        <item m="1" x="27"/>
        <item m="1" x="109"/>
        <item m="1" x="112"/>
        <item m="1" x="88"/>
        <item m="1" x="176"/>
        <item m="1" x="183"/>
        <item x="14"/>
        <item m="1" x="21"/>
        <item m="1" x="206"/>
        <item m="1" x="58"/>
        <item m="1" x="35"/>
        <item m="1" x="66"/>
        <item m="1" x="68"/>
        <item m="1" x="153"/>
        <item m="1" x="71"/>
        <item m="1" x="43"/>
        <item m="1" x="85"/>
        <item m="1" x="221"/>
        <item m="1" x="69"/>
        <item m="1" x="132"/>
        <item m="1" x="89"/>
        <item m="1" x="137"/>
        <item m="1" x="218"/>
        <item m="1" x="215"/>
        <item m="1" x="216"/>
        <item m="1" x="172"/>
        <item x="11"/>
        <item m="1" x="79"/>
        <item m="1" x="56"/>
        <item m="1" x="163"/>
        <item m="1" x="217"/>
        <item m="1" x="118"/>
        <item m="1" x="223"/>
        <item m="1" x="147"/>
        <item m="1" x="207"/>
        <item m="1" x="152"/>
        <item m="1" x="25"/>
        <item m="1" x="162"/>
        <item m="1" x="205"/>
        <item m="1" x="36"/>
        <item m="1" x="115"/>
        <item m="1" x="180"/>
        <item x="1"/>
        <item m="1" x="116"/>
        <item x="13"/>
        <item x="8"/>
        <item x="12"/>
        <item m="1" x="127"/>
        <item m="1" x="226"/>
        <item m="1" x="91"/>
        <item m="1" x="181"/>
        <item m="1" x="182"/>
        <item m="1" x="166"/>
        <item m="1" x="57"/>
        <item m="1" x="170"/>
        <item m="1" x="148"/>
        <item m="1" x="45"/>
        <item m="1" x="135"/>
        <item m="1" x="200"/>
        <item m="1" x="204"/>
        <item m="1" x="30"/>
        <item m="1" x="159"/>
        <item m="1" x="210"/>
        <item m="1" x="134"/>
        <item m="1" x="186"/>
        <item m="1" x="151"/>
        <item m="1" x="114"/>
        <item m="1" x="196"/>
        <item m="1" x="201"/>
        <item m="1" x="94"/>
        <item m="1" x="123"/>
        <item m="1" x="103"/>
        <item m="1" x="105"/>
        <item m="1" x="143"/>
        <item m="1" x="39"/>
        <item m="1" x="32"/>
        <item m="1" x="144"/>
        <item m="1" x="47"/>
        <item m="1" x="156"/>
        <item m="1" x="133"/>
        <item m="1" x="169"/>
        <item m="1" x="141"/>
        <item x="4"/>
        <item x="0"/>
        <item m="1" x="50"/>
        <item m="1" x="146"/>
        <item m="1" x="99"/>
        <item m="1" x="208"/>
        <item x="10"/>
        <item m="1" x="60"/>
        <item x="6"/>
        <item m="1" x="157"/>
        <item m="1" x="161"/>
        <item m="1" x="131"/>
        <item m="1" x="168"/>
        <item m="1" x="179"/>
        <item m="1" x="213"/>
        <item m="1" x="185"/>
        <item m="1" x="95"/>
        <item m="1" x="53"/>
        <item m="1" x="197"/>
        <item m="1" x="49"/>
        <item m="1" x="70"/>
        <item m="1" x="164"/>
        <item x="2"/>
        <item x="15"/>
        <item m="1" x="191"/>
        <item m="1" x="82"/>
        <item m="1" x="126"/>
        <item m="1" x="76"/>
        <item m="1" x="130"/>
        <item m="1" x="84"/>
        <item m="1" x="80"/>
        <item m="1" x="167"/>
        <item m="1" x="54"/>
        <item m="1" x="42"/>
        <item m="1" x="224"/>
        <item m="1" x="214"/>
        <item m="1" x="40"/>
        <item m="1" x="193"/>
        <item m="1" x="119"/>
        <item m="1" x="75"/>
        <item m="1" x="62"/>
        <item m="1" x="149"/>
        <item m="1" x="194"/>
        <item m="1" x="122"/>
        <item m="1" x="120"/>
        <item m="1" x="86"/>
        <item m="1" x="55"/>
        <item m="1" x="59"/>
        <item m="1" x="220"/>
        <item m="1" x="83"/>
        <item m="1" x="93"/>
        <item m="1" x="65"/>
        <item m="1" x="187"/>
        <item m="1" x="77"/>
        <item m="1" x="98"/>
        <item m="1" x="29"/>
        <item m="1" x="33"/>
        <item m="1" x="190"/>
        <item m="1" x="175"/>
        <item m="1" x="100"/>
        <item m="1" x="173"/>
        <item m="1" x="174"/>
        <item m="1" x="145"/>
        <item m="1" x="136"/>
        <item m="1" x="18"/>
        <item m="1" x="96"/>
        <item m="1" x="41"/>
        <item m="1" x="222"/>
        <item m="1" x="44"/>
        <item m="1" x="51"/>
        <item m="1" x="52"/>
        <item m="1" x="189"/>
        <item m="1" x="78"/>
        <item m="1" x="128"/>
        <item m="1" x="177"/>
        <item m="1" x="46"/>
        <item m="1" x="104"/>
        <item m="1" x="17"/>
        <item x="9"/>
        <item m="1" x="73"/>
        <item m="1" x="225"/>
        <item m="1" x="72"/>
        <item m="1" x="192"/>
        <item m="1" x="101"/>
        <item m="1" x="110"/>
        <item x="5"/>
        <item m="1" x="155"/>
        <item x="7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axis="axisPage" numFmtId="171" multipleItemSelectionAllowed="1" showAll="0">
      <items count="13">
        <item h="1" m="1" x="9"/>
        <item h="1" x="0"/>
        <item h="1" m="1" x="4"/>
        <item h="1" m="1" x="7"/>
        <item h="1" m="1" x="11"/>
        <item h="1" m="1" x="3"/>
        <item m="1" x="5"/>
        <item m="1" x="6"/>
        <item m="1" x="8"/>
        <item m="1" x="10"/>
        <item m="1" x="1"/>
        <item m="1" x="2"/>
        <item t="default"/>
      </items>
    </pivotField>
    <pivotField axis="axisPage" numFmtId="171" multipleItemSelectionAllowed="1" showAll="0">
      <items count="6">
        <item m="1" x="2"/>
        <item m="1" x="3"/>
        <item m="1" x="4"/>
        <item h="1" x="0"/>
        <item m="1" x="1"/>
        <item t="default"/>
      </items>
    </pivotField>
  </pivotFields>
  <rowFields count="3">
    <field x="3"/>
    <field x="4"/>
    <field x="6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/>
    <dataField name="Soma de Vendas" fld="9" baseField="0" baseItem="0"/>
  </dataFields>
  <formats count="14">
    <format dxfId="28">
      <pivotArea collapsedLevelsAreSubtotals="1" fieldPosition="0">
        <references count="1">
          <reference field="3" count="1">
            <x v="0"/>
          </reference>
        </references>
      </pivotArea>
    </format>
    <format dxfId="27">
      <pivotArea collapsedLevelsAreSubtotals="1" fieldPosition="0">
        <references count="2">
          <reference field="3" count="1" selected="0">
            <x v="0"/>
          </reference>
          <reference field="4" count="1">
            <x v="0"/>
          </reference>
        </references>
      </pivotArea>
    </format>
    <format dxfId="26">
      <pivotArea collapsedLevelsAreSubtotals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6" count="54">
            <x v="3"/>
            <x v="6"/>
            <x v="8"/>
            <x v="10"/>
            <x v="12"/>
            <x v="13"/>
            <x v="16"/>
            <x v="21"/>
            <x v="24"/>
            <x v="28"/>
            <x v="35"/>
            <x v="40"/>
            <x v="42"/>
            <x v="44"/>
            <x v="49"/>
            <x v="55"/>
            <x v="58"/>
            <x v="62"/>
            <x v="66"/>
            <x v="67"/>
            <x v="76"/>
            <x v="78"/>
            <x v="80"/>
            <x v="82"/>
            <x v="85"/>
            <x v="86"/>
            <x v="91"/>
            <x v="111"/>
            <x v="124"/>
            <x v="127"/>
            <x v="129"/>
            <x v="132"/>
            <x v="135"/>
            <x v="139"/>
            <x v="141"/>
            <x v="143"/>
            <x v="145"/>
            <x v="146"/>
            <x v="148"/>
            <x v="151"/>
            <x v="152"/>
            <x v="163"/>
            <x v="170"/>
            <x v="175"/>
            <x v="176"/>
            <x v="177"/>
            <x v="191"/>
            <x v="192"/>
            <x v="193"/>
            <x v="197"/>
            <x v="200"/>
            <x v="201"/>
            <x v="203"/>
            <x v="209"/>
          </reference>
        </references>
      </pivotArea>
    </format>
    <format dxfId="25">
      <pivotArea collapsedLevelsAreSubtotals="1" fieldPosition="0">
        <references count="2">
          <reference field="3" count="1" selected="0">
            <x v="0"/>
          </reference>
          <reference field="4" count="1">
            <x v="1"/>
          </reference>
        </references>
      </pivotArea>
    </format>
    <format dxfId="24">
      <pivotArea collapsedLevelsAreSubtotals="1" fieldPosition="0">
        <references count="3">
          <reference field="3" count="1" selected="0">
            <x v="0"/>
          </reference>
          <reference field="4" count="1" selected="0">
            <x v="1"/>
          </reference>
          <reference field="6" count="110">
            <x v="1"/>
            <x v="3"/>
            <x v="5"/>
            <x v="6"/>
            <x v="11"/>
            <x v="12"/>
            <x v="14"/>
            <x v="16"/>
            <x v="20"/>
            <x v="24"/>
            <x v="25"/>
            <x v="27"/>
            <x v="28"/>
            <x v="29"/>
            <x v="30"/>
            <x v="33"/>
            <x v="35"/>
            <x v="36"/>
            <x v="39"/>
            <x v="40"/>
            <x v="41"/>
            <x v="42"/>
            <x v="44"/>
            <x v="46"/>
            <x v="47"/>
            <x v="48"/>
            <x v="49"/>
            <x v="50"/>
            <x v="52"/>
            <x v="53"/>
            <x v="54"/>
            <x v="55"/>
            <x v="57"/>
            <x v="58"/>
            <x v="59"/>
            <x v="60"/>
            <x v="61"/>
            <x v="62"/>
            <x v="63"/>
            <x v="66"/>
            <x v="70"/>
            <x v="72"/>
            <x v="74"/>
            <x v="78"/>
            <x v="80"/>
            <x v="82"/>
            <x v="86"/>
            <x v="88"/>
            <x v="90"/>
            <x v="108"/>
            <x v="110"/>
            <x v="116"/>
            <x v="117"/>
            <x v="118"/>
            <x v="120"/>
            <x v="123"/>
            <x v="124"/>
            <x v="125"/>
            <x v="128"/>
            <x v="129"/>
            <x v="130"/>
            <x v="132"/>
            <x v="133"/>
            <x v="135"/>
            <x v="136"/>
            <x v="138"/>
            <x v="140"/>
            <x v="141"/>
            <x v="142"/>
            <x v="143"/>
            <x v="145"/>
            <x v="146"/>
            <x v="149"/>
            <x v="150"/>
            <x v="154"/>
            <x v="155"/>
            <x v="157"/>
            <x v="158"/>
            <x v="159"/>
            <x v="160"/>
            <x v="161"/>
            <x v="165"/>
            <x v="166"/>
            <x v="168"/>
            <x v="169"/>
            <x v="170"/>
            <x v="171"/>
            <x v="172"/>
            <x v="174"/>
            <x v="175"/>
            <x v="176"/>
            <x v="177"/>
            <x v="178"/>
            <x v="179"/>
            <x v="180"/>
            <x v="181"/>
            <x v="184"/>
            <x v="185"/>
            <x v="187"/>
            <x v="188"/>
            <x v="189"/>
            <x v="190"/>
            <x v="191"/>
            <x v="195"/>
            <x v="196"/>
            <x v="203"/>
            <x v="205"/>
            <x v="209"/>
            <x v="212"/>
            <x v="213"/>
          </reference>
        </references>
      </pivotArea>
    </format>
    <format dxfId="23">
      <pivotArea collapsedLevelsAreSubtotals="1" fieldPosition="0">
        <references count="1">
          <reference field="3" count="1">
            <x v="2"/>
          </reference>
        </references>
      </pivotArea>
    </format>
    <format dxfId="22">
      <pivotArea collapsedLevelsAreSubtotals="1" fieldPosition="0">
        <references count="2">
          <reference field="3" count="1" selected="0">
            <x v="2"/>
          </reference>
          <reference field="4" count="1">
            <x v="2"/>
          </reference>
        </references>
      </pivotArea>
    </format>
    <format dxfId="21">
      <pivotArea collapsedLevelsAreSubtotals="1" fieldPosition="0">
        <references count="3">
          <reference field="3" count="1" selected="0">
            <x v="2"/>
          </reference>
          <reference field="4" count="1" selected="0">
            <x v="2"/>
          </reference>
          <reference field="6" count="3">
            <x v="96"/>
            <x v="99"/>
            <x v="102"/>
          </reference>
        </references>
      </pivotArea>
    </format>
    <format dxfId="20">
      <pivotArea collapsedLevelsAreSubtotals="1" fieldPosition="0">
        <references count="1">
          <reference field="3" count="1">
            <x v="3"/>
          </reference>
        </references>
      </pivotArea>
    </format>
    <format dxfId="19">
      <pivotArea collapsedLevelsAreSubtotals="1" fieldPosition="0">
        <references count="2">
          <reference field="3" count="1" selected="0">
            <x v="3"/>
          </reference>
          <reference field="4" count="1">
            <x v="0"/>
          </reference>
        </references>
      </pivotArea>
    </format>
    <format dxfId="18">
      <pivotArea collapsedLevelsAreSubtotals="1" fieldPosition="0">
        <references count="3">
          <reference field="3" count="1" selected="0">
            <x v="3"/>
          </reference>
          <reference field="4" count="1" selected="0">
            <x v="0"/>
          </reference>
          <reference field="6" count="4">
            <x v="97"/>
            <x v="98"/>
            <x v="100"/>
            <x v="101"/>
          </reference>
        </references>
      </pivotArea>
    </format>
    <format dxfId="17">
      <pivotArea collapsedLevelsAreSubtotals="1" fieldPosition="0">
        <references count="2">
          <reference field="3" count="1" selected="0">
            <x v="3"/>
          </reference>
          <reference field="4" count="1">
            <x v="1"/>
          </reference>
        </references>
      </pivotArea>
    </format>
    <format dxfId="16">
      <pivotArea collapsedLevelsAreSubtotals="1" fieldPosition="0">
        <references count="3">
          <reference field="3" count="1" selected="0">
            <x v="3"/>
          </reference>
          <reference field="4" count="1" selected="0">
            <x v="1"/>
          </reference>
          <reference field="6" count="4">
            <x v="97"/>
            <x v="98"/>
            <x v="100"/>
            <x v="101"/>
          </reference>
        </references>
      </pivotArea>
    </format>
    <format dxfId="15">
      <pivotArea grandRow="1" outline="0" collapsedLevelsAreSubtotals="1" fieldPosition="0"/>
    </format>
  </formats>
  <conditionalFormats count="5">
    <conditionalFormat priority="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6" count="54">
              <x v="3"/>
              <x v="6"/>
              <x v="8"/>
              <x v="10"/>
              <x v="12"/>
              <x v="13"/>
              <x v="16"/>
              <x v="21"/>
              <x v="24"/>
              <x v="28"/>
              <x v="35"/>
              <x v="40"/>
              <x v="42"/>
              <x v="44"/>
              <x v="49"/>
              <x v="55"/>
              <x v="58"/>
              <x v="62"/>
              <x v="66"/>
              <x v="67"/>
              <x v="76"/>
              <x v="78"/>
              <x v="80"/>
              <x v="82"/>
              <x v="85"/>
              <x v="86"/>
              <x v="91"/>
              <x v="111"/>
              <x v="124"/>
              <x v="127"/>
              <x v="129"/>
              <x v="132"/>
              <x v="135"/>
              <x v="139"/>
              <x v="141"/>
              <x v="143"/>
              <x v="145"/>
              <x v="146"/>
              <x v="148"/>
              <x v="151"/>
              <x v="152"/>
              <x v="163"/>
              <x v="170"/>
              <x v="175"/>
              <x v="176"/>
              <x v="177"/>
              <x v="191"/>
              <x v="192"/>
              <x v="193"/>
              <x v="197"/>
              <x v="200"/>
              <x v="201"/>
              <x v="203"/>
              <x v="209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6" count="110">
              <x v="1"/>
              <x v="3"/>
              <x v="5"/>
              <x v="6"/>
              <x v="11"/>
              <x v="12"/>
              <x v="14"/>
              <x v="16"/>
              <x v="20"/>
              <x v="24"/>
              <x v="25"/>
              <x v="27"/>
              <x v="28"/>
              <x v="29"/>
              <x v="30"/>
              <x v="33"/>
              <x v="35"/>
              <x v="36"/>
              <x v="39"/>
              <x v="40"/>
              <x v="41"/>
              <x v="42"/>
              <x v="44"/>
              <x v="46"/>
              <x v="47"/>
              <x v="48"/>
              <x v="49"/>
              <x v="50"/>
              <x v="52"/>
              <x v="53"/>
              <x v="54"/>
              <x v="55"/>
              <x v="57"/>
              <x v="58"/>
              <x v="59"/>
              <x v="60"/>
              <x v="61"/>
              <x v="62"/>
              <x v="63"/>
              <x v="66"/>
              <x v="70"/>
              <x v="72"/>
              <x v="74"/>
              <x v="78"/>
              <x v="80"/>
              <x v="82"/>
              <x v="86"/>
              <x v="88"/>
              <x v="90"/>
              <x v="108"/>
              <x v="110"/>
              <x v="116"/>
              <x v="117"/>
              <x v="118"/>
              <x v="120"/>
              <x v="123"/>
              <x v="124"/>
              <x v="125"/>
              <x v="128"/>
              <x v="129"/>
              <x v="130"/>
              <x v="132"/>
              <x v="133"/>
              <x v="135"/>
              <x v="136"/>
              <x v="138"/>
              <x v="140"/>
              <x v="141"/>
              <x v="142"/>
              <x v="143"/>
              <x v="145"/>
              <x v="146"/>
              <x v="149"/>
              <x v="150"/>
              <x v="154"/>
              <x v="155"/>
              <x v="157"/>
              <x v="158"/>
              <x v="159"/>
              <x v="160"/>
              <x v="161"/>
              <x v="165"/>
              <x v="166"/>
              <x v="168"/>
              <x v="169"/>
              <x v="170"/>
              <x v="171"/>
              <x v="172"/>
              <x v="174"/>
              <x v="175"/>
              <x v="176"/>
              <x v="177"/>
              <x v="178"/>
              <x v="179"/>
              <x v="180"/>
              <x v="181"/>
              <x v="184"/>
              <x v="185"/>
              <x v="187"/>
              <x v="188"/>
              <x v="189"/>
              <x v="190"/>
              <x v="191"/>
              <x v="195"/>
              <x v="196"/>
              <x v="203"/>
              <x v="205"/>
              <x v="209"/>
              <x v="212"/>
              <x v="21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3"/>
            </reference>
            <reference field="4" count="1" selected="0">
              <x v="1"/>
            </reference>
            <reference field="6" count="4">
              <x v="97"/>
              <x v="98"/>
              <x v="100"/>
              <x v="10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3"/>
            </reference>
            <reference field="4" count="1" selected="0">
              <x v="0"/>
            </reference>
            <reference field="6" count="4">
              <x v="97"/>
              <x v="98"/>
              <x v="100"/>
              <x v="101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6" count="3">
              <x v="96"/>
              <x v="99"/>
              <x v="10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7" cacheId="22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>
  <location ref="A40:C47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h="1" x="0"/>
        <item h="1" x="2"/>
        <item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axis="axisRow" showAll="0" sortType="descending">
      <items count="228">
        <item m="1" x="117"/>
        <item m="1" x="202"/>
        <item m="1" x="150"/>
        <item m="1" x="124"/>
        <item m="1" x="125"/>
        <item m="1" x="129"/>
        <item m="1" x="209"/>
        <item m="1" x="154"/>
        <item m="1" x="171"/>
        <item m="1" x="203"/>
        <item m="1" x="20"/>
        <item m="1" x="184"/>
        <item m="1" x="92"/>
        <item m="1" x="81"/>
        <item m="1" x="211"/>
        <item m="1" x="107"/>
        <item m="1" x="108"/>
        <item m="1" x="158"/>
        <item m="1" x="87"/>
        <item m="1" x="199"/>
        <item m="1" x="212"/>
        <item m="1" x="113"/>
        <item x="3"/>
        <item m="1" x="160"/>
        <item m="1" x="90"/>
        <item m="1" x="61"/>
        <item m="1" x="111"/>
        <item m="1" x="139"/>
        <item m="1" x="34"/>
        <item m="1" x="195"/>
        <item m="1" x="121"/>
        <item m="1" x="188"/>
        <item m="1" x="138"/>
        <item m="1" x="140"/>
        <item m="1" x="219"/>
        <item m="1" x="67"/>
        <item m="1" x="74"/>
        <item m="1" x="27"/>
        <item m="1" x="112"/>
        <item m="1" x="176"/>
        <item m="1" x="183"/>
        <item x="14"/>
        <item m="1" x="21"/>
        <item m="1" x="206"/>
        <item m="1" x="58"/>
        <item m="1" x="35"/>
        <item m="1" x="66"/>
        <item m="1" x="68"/>
        <item m="1" x="153"/>
        <item m="1" x="43"/>
        <item m="1" x="221"/>
        <item m="1" x="69"/>
        <item m="1" x="132"/>
        <item m="1" x="89"/>
        <item m="1" x="137"/>
        <item m="1" x="218"/>
        <item m="1" x="216"/>
        <item m="1" x="172"/>
        <item x="11"/>
        <item m="1" x="79"/>
        <item m="1" x="56"/>
        <item m="1" x="163"/>
        <item m="1" x="118"/>
        <item m="1" x="147"/>
        <item m="1" x="207"/>
        <item m="1" x="25"/>
        <item m="1" x="166"/>
        <item m="1" x="57"/>
        <item m="1" x="170"/>
        <item m="1" x="148"/>
        <item m="1" x="45"/>
        <item m="1" x="135"/>
        <item m="1" x="200"/>
        <item m="1" x="204"/>
        <item m="1" x="159"/>
        <item m="1" x="134"/>
        <item m="1" x="151"/>
        <item m="1" x="196"/>
        <item m="1" x="201"/>
        <item m="1" x="94"/>
        <item m="1" x="123"/>
        <item m="1" x="105"/>
        <item m="1" x="143"/>
        <item m="1" x="32"/>
        <item m="1" x="144"/>
        <item m="1" x="156"/>
        <item m="1" x="133"/>
        <item m="1" x="141"/>
        <item x="4"/>
        <item x="0"/>
        <item m="1" x="146"/>
        <item m="1" x="99"/>
        <item m="1" x="208"/>
        <item x="10"/>
        <item x="6"/>
        <item m="1" x="157"/>
        <item m="1" x="179"/>
        <item m="1" x="213"/>
        <item m="1" x="185"/>
        <item m="1" x="95"/>
        <item m="1" x="49"/>
        <item m="1" x="70"/>
        <item x="2"/>
        <item x="15"/>
        <item m="1" x="82"/>
        <item m="1" x="80"/>
        <item m="1" x="54"/>
        <item m="1" x="40"/>
        <item m="1" x="119"/>
        <item m="1" x="75"/>
        <item m="1" x="194"/>
        <item m="1" x="122"/>
        <item m="1" x="120"/>
        <item m="1" x="86"/>
        <item m="1" x="55"/>
        <item m="1" x="220"/>
        <item m="1" x="83"/>
        <item m="1" x="65"/>
        <item m="1" x="187"/>
        <item m="1" x="33"/>
        <item m="1" x="175"/>
        <item m="1" x="100"/>
        <item m="1" x="173"/>
        <item m="1" x="174"/>
        <item m="1" x="145"/>
        <item m="1" x="136"/>
        <item m="1" x="18"/>
        <item m="1" x="96"/>
        <item m="1" x="41"/>
        <item m="1" x="44"/>
        <item m="1" x="51"/>
        <item m="1" x="52"/>
        <item m="1" x="78"/>
        <item m="1" x="128"/>
        <item m="1" x="177"/>
        <item m="1" x="46"/>
        <item m="1" x="17"/>
        <item m="1" x="226"/>
        <item m="1" x="91"/>
        <item m="1" x="181"/>
        <item m="1" x="182"/>
        <item m="1" x="127"/>
        <item m="1" x="223"/>
        <item m="1" x="152"/>
        <item m="1" x="19"/>
        <item m="1" x="215"/>
        <item m="1" x="28"/>
        <item m="1" x="29"/>
        <item m="1" x="23"/>
        <item m="1" x="109"/>
        <item m="1" x="180"/>
        <item m="1" x="162"/>
        <item m="1" x="205"/>
        <item x="12"/>
        <item m="1" x="116"/>
        <item m="1" x="224"/>
        <item m="1" x="77"/>
        <item m="1" x="115"/>
        <item m="1" x="217"/>
        <item m="1" x="149"/>
        <item m="1" x="161"/>
        <item m="1" x="168"/>
        <item m="1" x="71"/>
        <item m="1" x="106"/>
        <item m="1" x="186"/>
        <item m="1" x="26"/>
        <item m="1" x="142"/>
        <item m="1" x="37"/>
        <item m="1" x="222"/>
        <item m="1" x="189"/>
        <item m="1" x="36"/>
        <item m="1" x="193"/>
        <item m="1" x="31"/>
        <item m="1" x="63"/>
        <item m="1" x="103"/>
        <item x="13"/>
        <item x="1"/>
        <item x="8"/>
        <item m="1" x="24"/>
        <item m="1" x="191"/>
        <item m="1" x="102"/>
        <item m="1" x="198"/>
        <item m="1" x="48"/>
        <item m="1" x="85"/>
        <item m="1" x="42"/>
        <item m="1" x="114"/>
        <item m="1" x="62"/>
        <item m="1" x="214"/>
        <item m="1" x="190"/>
        <item m="1" x="59"/>
        <item m="1" x="130"/>
        <item m="1" x="164"/>
        <item m="1" x="50"/>
        <item m="1" x="178"/>
        <item m="1" x="197"/>
        <item m="1" x="126"/>
        <item m="1" x="169"/>
        <item m="1" x="64"/>
        <item m="1" x="22"/>
        <item m="1" x="47"/>
        <item m="1" x="53"/>
        <item m="1" x="97"/>
        <item m="1" x="60"/>
        <item m="1" x="88"/>
        <item m="1" x="93"/>
        <item m="1" x="131"/>
        <item m="1" x="98"/>
        <item m="1" x="167"/>
        <item m="1" x="39"/>
        <item m="1" x="38"/>
        <item m="1" x="30"/>
        <item m="1" x="76"/>
        <item m="1" x="165"/>
        <item m="1" x="210"/>
        <item m="1" x="104"/>
        <item m="1" x="84"/>
        <item x="9"/>
        <item m="1" x="73"/>
        <item m="1" x="225"/>
        <item m="1" x="72"/>
        <item m="1" x="192"/>
        <item m="1" x="101"/>
        <item m="1" x="110"/>
        <item x="5"/>
        <item m="1" x="155"/>
        <item x="7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0">
        <item x="6"/>
        <item x="7"/>
        <item x="3"/>
        <item x="2"/>
        <item x="0"/>
        <item x="1"/>
        <item x="5"/>
        <item x="4"/>
        <item m="1" x="8"/>
        <item t="default"/>
      </items>
    </pivotField>
    <pivotField dataField="1" showAll="0"/>
    <pivotField dataField="1" showAll="0"/>
    <pivotField axis="axisPage" numFmtId="171" multipleItemSelectionAllowed="1" showAll="0">
      <items count="13">
        <item m="1" x="9"/>
        <item x="0"/>
        <item m="1" x="4"/>
        <item m="1" x="7"/>
        <item m="1" x="11"/>
        <item m="1" x="3"/>
        <item m="1" x="5"/>
        <item m="1" x="6"/>
        <item m="1" x="8"/>
        <item m="1" x="10"/>
        <item m="1" x="1"/>
        <item m="1" x="2"/>
        <item t="default"/>
      </items>
    </pivotField>
    <pivotField axis="axisPage" numFmtId="171" multipleItemSelectionAllowed="1" showAll="0">
      <items count="6">
        <item m="1" x="2"/>
        <item m="1" x="3"/>
        <item h="1" m="1" x="4"/>
        <item m="1" x="1"/>
        <item x="0"/>
        <item t="default"/>
      </items>
    </pivotField>
  </pivotFields>
  <rowFields count="3">
    <field x="3"/>
    <field x="7"/>
    <field x="6"/>
  </rowFields>
  <rowItems count="6">
    <i>
      <x v="2"/>
    </i>
    <i r="1">
      <x v="5"/>
    </i>
    <i r="2">
      <x v="177"/>
    </i>
    <i r="2">
      <x v="176"/>
    </i>
    <i r="2">
      <x v="175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 numFmtId="4"/>
    <dataField name="Soma de Vendas" fld="9" baseField="0" baseItem="0"/>
  </dataFields>
  <formats count="5">
    <format dxfId="82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81">
      <pivotArea collapsedLevelsAreSubtotals="1" fieldPosition="0">
        <references count="3">
          <reference field="4294967294" count="1" selected="0">
            <x v="0"/>
          </reference>
          <reference field="3" count="0" selected="0"/>
          <reference field="7" count="1">
            <x v="5"/>
          </reference>
        </references>
      </pivotArea>
    </format>
    <format dxfId="80">
      <pivotArea collapsedLevelsAreSubtotals="1" fieldPosition="0">
        <references count="4">
          <reference field="4294967294" count="1" selected="0">
            <x v="0"/>
          </reference>
          <reference field="3" count="0" selected="0"/>
          <reference field="6" count="3">
            <x v="137"/>
            <x v="138"/>
            <x v="139"/>
          </reference>
          <reference field="7" count="1" selected="0">
            <x v="5"/>
          </reference>
        </references>
      </pivotArea>
    </format>
    <format dxfId="79">
      <pivotArea outline="0" fieldPosition="0">
        <references count="1">
          <reference field="4294967294" count="1">
            <x v="0"/>
          </reference>
        </references>
      </pivotArea>
    </format>
    <format dxfId="78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4">
    <conditionalFormat priority="3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75"/>
              <x v="176"/>
              <x v="177"/>
            </reference>
            <reference field="7" count="1" selected="0">
              <x v="5"/>
            </reference>
          </references>
        </pivotArea>
      </pivotAreas>
    </conditionalFormat>
    <conditionalFormat priority="3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51"/>
              <x v="152"/>
              <x v="170"/>
            </reference>
            <reference field="7" count="1" selected="0">
              <x v="5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50"/>
              <x v="151"/>
              <x v="152"/>
            </reference>
            <reference field="7" count="1" selected="0">
              <x v="5"/>
            </reference>
          </references>
        </pivotArea>
      </pivotAreas>
    </conditionalFormat>
    <conditionalFormat priority="4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37"/>
              <x v="138"/>
              <x v="139"/>
            </reference>
            <reference field="7" count="1" selected="0">
              <x v="5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6" cacheId="22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6">
  <location ref="A25:C29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h="1" x="0"/>
        <item x="2"/>
        <item h="1"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axis="axisRow" showAll="0" sortType="descending">
      <items count="228">
        <item m="1" x="117"/>
        <item m="1" x="202"/>
        <item m="1" x="150"/>
        <item m="1" x="124"/>
        <item m="1" x="125"/>
        <item m="1" x="129"/>
        <item m="1" x="209"/>
        <item m="1" x="19"/>
        <item m="1" x="28"/>
        <item m="1" x="154"/>
        <item m="1" x="171"/>
        <item m="1" x="203"/>
        <item m="1" x="20"/>
        <item m="1" x="184"/>
        <item m="1" x="92"/>
        <item m="1" x="81"/>
        <item m="1" x="211"/>
        <item m="1" x="107"/>
        <item m="1" x="108"/>
        <item m="1" x="158"/>
        <item m="1" x="87"/>
        <item m="1" x="199"/>
        <item m="1" x="212"/>
        <item m="1" x="113"/>
        <item x="3"/>
        <item m="1" x="160"/>
        <item m="1" x="90"/>
        <item m="1" x="61"/>
        <item m="1" x="111"/>
        <item m="1" x="139"/>
        <item m="1" x="34"/>
        <item m="1" x="195"/>
        <item m="1" x="121"/>
        <item m="1" x="188"/>
        <item m="1" x="138"/>
        <item m="1" x="140"/>
        <item m="1" x="219"/>
        <item m="1" x="67"/>
        <item m="1" x="23"/>
        <item m="1" x="74"/>
        <item m="1" x="27"/>
        <item m="1" x="109"/>
        <item m="1" x="112"/>
        <item m="1" x="176"/>
        <item m="1" x="183"/>
        <item x="14"/>
        <item m="1" x="21"/>
        <item m="1" x="206"/>
        <item m="1" x="58"/>
        <item m="1" x="35"/>
        <item m="1" x="66"/>
        <item m="1" x="68"/>
        <item m="1" x="153"/>
        <item m="1" x="43"/>
        <item m="1" x="221"/>
        <item m="1" x="69"/>
        <item m="1" x="132"/>
        <item m="1" x="89"/>
        <item m="1" x="137"/>
        <item m="1" x="218"/>
        <item m="1" x="215"/>
        <item m="1" x="216"/>
        <item m="1" x="172"/>
        <item x="11"/>
        <item m="1" x="79"/>
        <item m="1" x="56"/>
        <item m="1" x="163"/>
        <item m="1" x="118"/>
        <item m="1" x="223"/>
        <item m="1" x="147"/>
        <item m="1" x="207"/>
        <item m="1" x="152"/>
        <item m="1" x="25"/>
        <item m="1" x="162"/>
        <item m="1" x="205"/>
        <item m="1" x="180"/>
        <item m="1" x="116"/>
        <item x="12"/>
        <item m="1" x="127"/>
        <item m="1" x="226"/>
        <item m="1" x="91"/>
        <item m="1" x="181"/>
        <item m="1" x="182"/>
        <item m="1" x="166"/>
        <item m="1" x="57"/>
        <item m="1" x="170"/>
        <item m="1" x="148"/>
        <item m="1" x="45"/>
        <item m="1" x="135"/>
        <item m="1" x="200"/>
        <item m="1" x="204"/>
        <item m="1" x="159"/>
        <item m="1" x="134"/>
        <item m="1" x="151"/>
        <item m="1" x="196"/>
        <item m="1" x="201"/>
        <item m="1" x="94"/>
        <item m="1" x="123"/>
        <item m="1" x="105"/>
        <item m="1" x="143"/>
        <item m="1" x="32"/>
        <item m="1" x="144"/>
        <item m="1" x="156"/>
        <item m="1" x="133"/>
        <item m="1" x="141"/>
        <item x="4"/>
        <item x="0"/>
        <item m="1" x="146"/>
        <item m="1" x="99"/>
        <item m="1" x="208"/>
        <item x="10"/>
        <item x="6"/>
        <item m="1" x="157"/>
        <item m="1" x="179"/>
        <item m="1" x="213"/>
        <item m="1" x="185"/>
        <item m="1" x="95"/>
        <item m="1" x="49"/>
        <item m="1" x="70"/>
        <item x="2"/>
        <item x="15"/>
        <item m="1" x="82"/>
        <item m="1" x="80"/>
        <item m="1" x="54"/>
        <item m="1" x="40"/>
        <item m="1" x="119"/>
        <item m="1" x="75"/>
        <item m="1" x="194"/>
        <item m="1" x="122"/>
        <item m="1" x="120"/>
        <item m="1" x="86"/>
        <item m="1" x="55"/>
        <item m="1" x="220"/>
        <item m="1" x="83"/>
        <item m="1" x="65"/>
        <item m="1" x="187"/>
        <item m="1" x="29"/>
        <item m="1" x="33"/>
        <item m="1" x="175"/>
        <item m="1" x="100"/>
        <item m="1" x="173"/>
        <item m="1" x="174"/>
        <item m="1" x="145"/>
        <item m="1" x="136"/>
        <item m="1" x="18"/>
        <item m="1" x="96"/>
        <item m="1" x="41"/>
        <item m="1" x="44"/>
        <item m="1" x="51"/>
        <item m="1" x="52"/>
        <item m="1" x="78"/>
        <item m="1" x="128"/>
        <item m="1" x="177"/>
        <item m="1" x="46"/>
        <item m="1" x="17"/>
        <item m="1" x="224"/>
        <item m="1" x="77"/>
        <item m="1" x="115"/>
        <item m="1" x="217"/>
        <item m="1" x="149"/>
        <item m="1" x="161"/>
        <item m="1" x="168"/>
        <item m="1" x="71"/>
        <item m="1" x="106"/>
        <item m="1" x="186"/>
        <item m="1" x="26"/>
        <item m="1" x="142"/>
        <item m="1" x="37"/>
        <item m="1" x="222"/>
        <item m="1" x="189"/>
        <item m="1" x="36"/>
        <item m="1" x="193"/>
        <item m="1" x="31"/>
        <item m="1" x="63"/>
        <item m="1" x="103"/>
        <item x="13"/>
        <item x="1"/>
        <item x="8"/>
        <item m="1" x="24"/>
        <item m="1" x="191"/>
        <item m="1" x="102"/>
        <item m="1" x="198"/>
        <item m="1" x="48"/>
        <item m="1" x="85"/>
        <item m="1" x="42"/>
        <item m="1" x="114"/>
        <item m="1" x="62"/>
        <item m="1" x="214"/>
        <item m="1" x="190"/>
        <item m="1" x="59"/>
        <item m="1" x="130"/>
        <item m="1" x="164"/>
        <item m="1" x="50"/>
        <item m="1" x="178"/>
        <item m="1" x="197"/>
        <item m="1" x="126"/>
        <item m="1" x="169"/>
        <item m="1" x="64"/>
        <item m="1" x="22"/>
        <item m="1" x="47"/>
        <item m="1" x="53"/>
        <item m="1" x="97"/>
        <item m="1" x="60"/>
        <item m="1" x="88"/>
        <item m="1" x="93"/>
        <item m="1" x="131"/>
        <item m="1" x="98"/>
        <item m="1" x="167"/>
        <item m="1" x="39"/>
        <item m="1" x="38"/>
        <item m="1" x="30"/>
        <item m="1" x="76"/>
        <item m="1" x="165"/>
        <item m="1" x="210"/>
        <item m="1" x="104"/>
        <item m="1" x="84"/>
        <item x="9"/>
        <item m="1" x="73"/>
        <item m="1" x="225"/>
        <item m="1" x="72"/>
        <item m="1" x="192"/>
        <item m="1" x="101"/>
        <item m="1" x="110"/>
        <item x="5"/>
        <item m="1" x="155"/>
        <item x="7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axis="axisPage" numFmtId="171" multipleItemSelectionAllowed="1" showAll="0">
      <items count="13">
        <item m="1" x="9"/>
        <item x="0"/>
        <item m="1" x="4"/>
        <item m="1" x="7"/>
        <item m="1" x="11"/>
        <item m="1" x="3"/>
        <item m="1" x="5"/>
        <item m="1" x="6"/>
        <item m="1" x="8"/>
        <item m="1" x="10"/>
        <item m="1" x="1"/>
        <item m="1" x="2"/>
        <item t="default"/>
      </items>
    </pivotField>
    <pivotField axis="axisPage" numFmtId="171" multipleItemSelectionAllowed="1" showAll="0">
      <items count="6">
        <item m="1" x="2"/>
        <item m="1" x="3"/>
        <item h="1" m="1" x="4"/>
        <item m="1" x="1"/>
        <item x="0"/>
        <item t="default"/>
      </items>
    </pivotField>
  </pivotFields>
  <rowFields count="2">
    <field x="3"/>
    <field x="6"/>
  </rowFields>
  <rowItems count="3">
    <i>
      <x v="1"/>
    </i>
    <i r="1">
      <x v="77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 numFmtId="4"/>
    <dataField name="Soma de Vendas" fld="9" baseField="0" baseItem="0"/>
  </dataFields>
  <formats count="2">
    <format dxfId="84">
      <pivotArea outline="0" fieldPosition="0">
        <references count="1">
          <reference field="4294967294" count="1">
            <x v="0"/>
          </reference>
        </references>
      </pivotArea>
    </format>
    <format dxfId="83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2">
    <conditionalFormat priority="4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3">
              <x v="76"/>
              <x v="77"/>
              <x v="157"/>
            </reference>
          </references>
        </pivotArea>
      </pivotAreas>
    </conditionalFormat>
    <conditionalFormat priority="4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2">
              <x v="76"/>
              <x v="77"/>
            </reference>
          </references>
        </pivotArea>
      </pivotAreas>
    </conditionalFormat>
  </conditionalFormats>
  <chartFormats count="8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3" cacheId="22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 rowHeaderCaption="">
  <location ref="A4:C13" firstHeaderRow="1" firstDataRow="2" firstDataCol="1" rowPageCount="2" colPageCount="1"/>
  <pivotFields count="12">
    <pivotField showAll="0"/>
    <pivotField showAll="0"/>
    <pivotField showAll="0"/>
    <pivotField axis="axisRow" showAll="0" defaultSubtotal="0">
      <items count="7">
        <item x="0"/>
        <item h="1" x="2"/>
        <item h="1" x="1"/>
        <item h="1" m="1" x="3"/>
        <item h="1" m="1" x="6"/>
        <item h="1" m="1" x="4"/>
        <item h="1" m="1" x="5"/>
      </items>
    </pivotField>
    <pivotField showAll="0" defaultSubtotal="0"/>
    <pivotField showAll="0"/>
    <pivotField showAll="0"/>
    <pivotField axis="axisRow" showAll="0" sortType="descending">
      <items count="10">
        <item x="6"/>
        <item x="7"/>
        <item x="3"/>
        <item x="2"/>
        <item x="0"/>
        <item x="1"/>
        <item x="5"/>
        <item x="4"/>
        <item h="1" m="1"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axis="axisPage" numFmtId="171" multipleItemSelectionAllowed="1" showAll="0" defaultSubtotal="0">
      <items count="12">
        <item m="1" x="9"/>
        <item x="0"/>
        <item m="1" x="4"/>
        <item m="1" x="7"/>
        <item m="1" x="11"/>
        <item m="1" x="3"/>
        <item m="1" x="5"/>
        <item m="1" x="6"/>
        <item m="1" x="8"/>
        <item m="1" x="10"/>
        <item m="1" x="1"/>
        <item m="1" x="2"/>
      </items>
    </pivotField>
    <pivotField axis="axisPage" numFmtId="171" multipleItemSelectionAllowed="1" showAll="0" defaultSubtotal="0">
      <items count="5">
        <item m="1" x="2"/>
        <item m="1" x="3"/>
        <item h="1" m="1" x="4"/>
        <item m="1" x="1"/>
        <item x="0"/>
      </items>
    </pivotField>
  </pivotFields>
  <rowFields count="2">
    <field x="3"/>
    <field x="7"/>
  </rowFields>
  <rowItems count="8">
    <i>
      <x/>
    </i>
    <i r="1">
      <x v="3"/>
    </i>
    <i r="1">
      <x v="4"/>
    </i>
    <i r="1">
      <x v="1"/>
    </i>
    <i r="1">
      <x v="7"/>
    </i>
    <i r="1">
      <x v="2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 numFmtId="43"/>
    <dataField name="Soma de Vendas" fld="9" baseField="0" baseItem="0"/>
  </dataFields>
  <formats count="2">
    <format dxfId="8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5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3">
    <conditionalFormat priority="2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7" count="6">
              <x v="0"/>
              <x v="1"/>
              <x v="2"/>
              <x v="3"/>
              <x v="4"/>
              <x v="7"/>
            </reference>
          </references>
        </pivotArea>
      </pivotAreas>
    </conditionalFormat>
    <conditionalFormat priority="3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7" count="6">
              <x v="0"/>
              <x v="1"/>
              <x v="2"/>
              <x v="3"/>
              <x v="4"/>
              <x v="7"/>
            </reference>
          </references>
        </pivotArea>
      </pivotAreas>
    </conditionalFormat>
    <conditionalFormat priority="5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7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ela dinâmica7" cacheId="22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N4:Q6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0"/>
        <item x="1"/>
        <item x="2"/>
        <item m="1" x="3"/>
        <item t="default"/>
      </items>
    </pivotField>
    <pivotField axis="axisPage" multipleItemSelectionAllowed="1" showAll="0">
      <items count="271">
        <item h="1" m="1" x="23"/>
        <item h="1" m="1" x="218"/>
        <item h="1" m="1" x="84"/>
        <item h="1" m="1" x="17"/>
        <item h="1" m="1" x="80"/>
        <item h="1" m="1" x="140"/>
        <item h="1" m="1" x="204"/>
        <item h="1" m="1" x="71"/>
        <item h="1" m="1" x="262"/>
        <item h="1" m="1" x="196"/>
        <item h="1" m="1" x="128"/>
        <item h="1" m="1" x="189"/>
        <item h="1" m="1" x="124"/>
        <item h="1" m="1" x="58"/>
        <item h="1" m="1" x="250"/>
        <item h="1" m="1" x="183"/>
        <item h="1" m="1" x="138"/>
        <item h="1" m="1" x="75"/>
        <item h="1" m="1" x="266"/>
        <item h="1" m="1" x="201"/>
        <item h="1" m="1" x="259"/>
        <item h="1" m="1" x="193"/>
        <item h="1" m="1" x="63"/>
        <item h="1" m="1" x="56"/>
        <item h="1" m="1" x="51"/>
        <item h="1" m="1" x="242"/>
        <item h="1" m="1" x="112"/>
        <item h="1" m="1" x="171"/>
        <item h="1" m="1" x="107"/>
        <item h="1" m="1" x="39"/>
        <item h="1" m="1" x="234"/>
        <item h="1" m="1" x="166"/>
        <item h="1" m="1" x="180"/>
        <item h="1" m="1" x="116"/>
        <item h="1" m="1" x="48"/>
        <item h="1" m="1" x="238"/>
        <item h="1" m="1" x="42"/>
        <item h="1" m="1" x="105"/>
        <item h="1" m="1" x="38"/>
        <item h="1" m="1" x="165"/>
        <item h="1" m="1" x="100"/>
        <item h="1" m="1" x="35"/>
        <item h="1" m="1" x="162"/>
        <item h="1" m="1" x="95"/>
        <item h="1" m="1" x="31"/>
        <item h="1" m="1" x="158"/>
        <item h="1" m="1" x="27"/>
        <item h="1" m="1" x="223"/>
        <item h="1" m="1" x="152"/>
        <item h="1" m="1" x="21"/>
        <item h="1" m="1" x="217"/>
        <item h="1" m="1" x="226"/>
        <item h="1" m="1" x="155"/>
        <item h="1" m="1" x="90"/>
        <item h="1" m="1" x="25"/>
        <item h="1" m="1" x="221"/>
        <item h="1" m="1" x="150"/>
        <item h="1" m="1" x="85"/>
        <item h="1" m="1" x="18"/>
        <item h="1" m="1" x="214"/>
        <item h="1" m="1" x="145"/>
        <item h="1" m="1" x="14"/>
        <item h="1" m="1" x="211"/>
        <item h="1" m="1" x="79"/>
        <item h="1" m="1" x="136"/>
        <item h="1" m="1" x="73"/>
        <item h="1" m="1" x="199"/>
        <item h="1" m="1" x="130"/>
        <item h="1" m="1" x="66"/>
        <item h="1" m="1" x="126"/>
        <item h="1" m="1" x="208"/>
        <item h="1" m="1" x="139"/>
        <item m="1" x="76"/>
        <item h="1" m="1" x="268"/>
        <item h="1" m="1" x="202"/>
        <item h="1" m="1" x="133"/>
        <item h="1" m="1" x="69"/>
        <item h="1" m="1" x="261"/>
        <item h="1" m="1" x="195"/>
        <item h="1" m="1" x="64"/>
        <item h="1" m="1" x="254"/>
        <item h="1" m="1" x="188"/>
        <item h="1" m="1" x="249"/>
        <item h="1" m="1" x="182"/>
        <item h="1" m="1" x="120"/>
        <item h="1" m="1" x="52"/>
        <item h="1" m="1" x="244"/>
        <item h="1" m="1" x="178"/>
        <item h="1" m="1" x="114"/>
        <item h="1" m="1" x="46"/>
        <item h="1" m="1" x="173"/>
        <item h="1" m="1" x="109"/>
        <item h="1" m="1" x="40"/>
        <item h="1" m="1" x="235"/>
        <item h="1" m="1" x="168"/>
        <item h="1" m="1" x="104"/>
        <item h="1" m="1" x="49"/>
        <item h="1" m="1" x="240"/>
        <item h="1" m="1" x="44"/>
        <item h="1" m="1" x="170"/>
        <item h="1" m="1" x="106"/>
        <item h="1" m="1" x="233"/>
        <item h="1" m="1" x="102"/>
        <item h="1" m="1" x="36"/>
        <item h="1" m="1" x="163"/>
        <item h="1" m="1" x="97"/>
        <item h="1" m="1" x="33"/>
        <item h="1" m="1" x="160"/>
        <item h="1" m="1" x="93"/>
        <item h="1" m="1" x="28"/>
        <item h="1" m="1" x="225"/>
        <item h="1" m="1" x="154"/>
        <item h="1" m="1" x="88"/>
        <item h="1" m="1" x="219"/>
        <item m="1" x="99"/>
        <item m="1" x="34"/>
        <item m="1" x="230"/>
        <item m="1" x="94"/>
        <item m="1" x="30"/>
        <item m="1" x="228"/>
        <item m="1" x="157"/>
        <item m="1" x="91"/>
        <item m="1" x="26"/>
        <item m="1" x="222"/>
        <item m="1" x="151"/>
        <item m="1" x="86"/>
        <item m="1" x="20"/>
        <item m="1" x="216"/>
        <item m="1" x="147"/>
        <item m="1" x="83"/>
        <item m="1" x="16"/>
        <item m="1" x="269"/>
        <item m="1" x="207"/>
        <item h="1" m="1" x="118"/>
        <item m="1" x="267"/>
        <item m="1" x="132"/>
        <item m="1" x="68"/>
        <item m="1" x="194"/>
        <item m="1" x="260"/>
        <item h="1" m="1" x="143"/>
        <item h="1" m="1" x="12"/>
        <item h="1" m="1" x="78"/>
        <item h="1" m="1" x="263"/>
        <item h="1" m="1" x="197"/>
        <item h="1" m="1" x="256"/>
        <item h="1" m="1" x="191"/>
        <item h="1" m="1" x="60"/>
        <item h="1" m="1" x="252"/>
        <item h="1" m="1" x="185"/>
        <item h="1" m="1" x="121"/>
        <item h="1" m="1" x="54"/>
        <item h="1" m="1" x="117"/>
        <item h="1" m="1" x="246"/>
        <item h="1" m="1" x="239"/>
        <item h="1" m="1" x="175"/>
        <item h="1" m="1" x="111"/>
        <item h="1" m="1" x="236"/>
        <item h="1" m="1" x="43"/>
        <item h="1" m="1" x="123"/>
        <item h="1" m="1" x="57"/>
        <item h="1" m="1" x="248"/>
        <item h="1" m="1" x="243"/>
        <item h="1" m="1" x="177"/>
        <item h="1" m="1" x="113"/>
        <item h="1" m="1" x="45"/>
        <item h="1" m="1" x="237"/>
        <item h="1" m="1" x="172"/>
        <item h="1" m="1" x="108"/>
        <item h="1" m="1" x="167"/>
        <item h="1" m="1" x="103"/>
        <item h="1" m="1" x="164"/>
        <item h="1" m="1" x="98"/>
        <item h="1" m="1" x="229"/>
        <item h="1" m="1" x="161"/>
        <item h="1" m="1" x="227"/>
        <item h="1" m="1" x="156"/>
        <item h="1" m="1" x="232"/>
        <item h="1" m="1" x="101"/>
        <item h="1" m="1" x="231"/>
        <item h="1" m="1" x="96"/>
        <item h="1" m="1" x="32"/>
        <item h="1" m="1" x="159"/>
        <item h="1" m="1" x="92"/>
        <item h="1" m="1" x="224"/>
        <item h="1" m="1" x="87"/>
        <item h="1" m="1" x="22"/>
        <item h="1" m="1" x="148"/>
        <item h="1" m="1" x="213"/>
        <item h="1" m="1" x="11"/>
        <item h="1" m="1" x="77"/>
        <item h="1" m="1" x="203"/>
        <item h="1" m="1" x="134"/>
        <item h="1" m="1" x="70"/>
        <item h="1" m="1" x="146"/>
        <item h="1" m="1" x="215"/>
        <item h="1" m="1" x="82"/>
        <item h="1" m="1" x="15"/>
        <item h="1" m="1" x="212"/>
        <item h="1" m="1" x="142"/>
        <item h="1" m="1" x="206"/>
        <item h="1" m="1" x="137"/>
        <item h="1" m="1" x="258"/>
        <item h="1" m="1" x="74"/>
        <item h="1" m="1" x="200"/>
        <item h="1" m="1" x="131"/>
        <item h="1" m="1" x="265"/>
        <item h="1" m="1" x="192"/>
        <item h="1" m="1" x="67"/>
        <item h="1" m="1" x="153"/>
        <item h="1" m="1" x="253"/>
        <item h="1" m="1" x="19"/>
        <item h="1" m="1" x="127"/>
        <item h="1" m="1" x="62"/>
        <item h="1" m="1" x="187"/>
        <item h="1" m="1" x="122"/>
        <item h="1" m="1" x="55"/>
        <item h="1" m="1" x="247"/>
        <item h="1" m="1" x="241"/>
        <item h="1" m="1" x="176"/>
        <item h="1" m="1" x="181"/>
        <item h="1" m="1" x="50"/>
        <item h="1" m="1" x="119"/>
        <item h="1" m="1" x="255"/>
        <item h="1" m="1" x="190"/>
        <item h="1" m="1" x="125"/>
        <item h="1" m="1" x="59"/>
        <item h="1" m="1" x="251"/>
        <item h="1" m="1" x="184"/>
        <item h="1" m="1" x="245"/>
        <item h="1" m="1" x="53"/>
        <item h="1" m="1" x="179"/>
        <item h="1" m="1" x="115"/>
        <item h="1" m="1" x="47"/>
        <item h="1" m="1" x="174"/>
        <item h="1" m="1" x="110"/>
        <item h="1" m="1" x="41"/>
        <item h="1" m="1" x="209"/>
        <item h="1" m="1" x="169"/>
        <item h="1" m="1" x="37"/>
        <item h="1" m="1" x="89"/>
        <item h="1" m="1" x="29"/>
        <item h="1" m="1" x="24"/>
        <item h="1" m="1" x="220"/>
        <item h="1" m="1" x="149"/>
        <item h="1" m="1" x="144"/>
        <item h="1" m="1" x="81"/>
        <item h="1" m="1" x="13"/>
        <item h="1" m="1" x="210"/>
        <item h="1" m="1" x="141"/>
        <item h="1" m="1" x="205"/>
        <item h="1" m="1" x="135"/>
        <item h="1" m="1" x="72"/>
        <item h="1" m="1" x="264"/>
        <item h="1" m="1" x="198"/>
        <item h="1" m="1" x="129"/>
        <item h="1" m="1" x="65"/>
        <item h="1" m="1" x="257"/>
        <item h="1" m="1" x="186"/>
        <item h="1" x="0"/>
        <item h="1" x="1"/>
        <item h="1" m="1" x="61"/>
        <item h="1" x="2"/>
        <item h="1" x="3"/>
        <item h="1" x="4"/>
        <item h="1" x="6"/>
        <item h="1" x="5"/>
        <item h="1" x="7"/>
        <item h="1" x="8"/>
        <item h="1" x="9"/>
        <item h="1" x="10"/>
        <item t="default"/>
      </items>
    </pivotField>
    <pivotField axis="axisRow" showAll="0" sortType="descending">
      <items count="228">
        <item m="1" x="117"/>
        <item m="1" x="202"/>
        <item m="1" x="150"/>
        <item m="1" x="124"/>
        <item m="1" x="125"/>
        <item m="1" x="129"/>
        <item m="1" x="209"/>
        <item m="1" x="19"/>
        <item m="1" x="28"/>
        <item m="1" x="154"/>
        <item m="1" x="171"/>
        <item m="1" x="203"/>
        <item m="1" x="20"/>
        <item m="1" x="184"/>
        <item m="1" x="92"/>
        <item m="1" x="81"/>
        <item m="1" x="211"/>
        <item m="1" x="107"/>
        <item m="1" x="108"/>
        <item m="1" x="158"/>
        <item m="1" x="87"/>
        <item m="1" x="199"/>
        <item m="1" x="212"/>
        <item m="1" x="113"/>
        <item x="3"/>
        <item m="1" x="160"/>
        <item m="1" x="90"/>
        <item m="1" x="61"/>
        <item m="1" x="111"/>
        <item m="1" x="139"/>
        <item m="1" x="34"/>
        <item m="1" x="195"/>
        <item m="1" x="121"/>
        <item m="1" x="188"/>
        <item m="1" x="138"/>
        <item m="1" x="140"/>
        <item m="1" x="219"/>
        <item m="1" x="67"/>
        <item m="1" x="23"/>
        <item m="1" x="74"/>
        <item m="1" x="27"/>
        <item m="1" x="109"/>
        <item m="1" x="112"/>
        <item m="1" x="176"/>
        <item m="1" x="183"/>
        <item x="14"/>
        <item m="1" x="21"/>
        <item m="1" x="206"/>
        <item m="1" x="58"/>
        <item m="1" x="35"/>
        <item m="1" x="66"/>
        <item m="1" x="68"/>
        <item m="1" x="153"/>
        <item m="1" x="43"/>
        <item m="1" x="221"/>
        <item m="1" x="69"/>
        <item m="1" x="132"/>
        <item m="1" x="89"/>
        <item m="1" x="137"/>
        <item m="1" x="218"/>
        <item m="1" x="215"/>
        <item m="1" x="216"/>
        <item m="1" x="172"/>
        <item x="11"/>
        <item m="1" x="79"/>
        <item m="1" x="56"/>
        <item m="1" x="163"/>
        <item m="1" x="118"/>
        <item m="1" x="223"/>
        <item m="1" x="147"/>
        <item m="1" x="207"/>
        <item m="1" x="152"/>
        <item m="1" x="25"/>
        <item m="1" x="162"/>
        <item m="1" x="205"/>
        <item m="1" x="180"/>
        <item m="1" x="116"/>
        <item x="12"/>
        <item m="1" x="127"/>
        <item m="1" x="226"/>
        <item m="1" x="91"/>
        <item m="1" x="181"/>
        <item m="1" x="182"/>
        <item m="1" x="166"/>
        <item m="1" x="57"/>
        <item m="1" x="170"/>
        <item m="1" x="148"/>
        <item m="1" x="45"/>
        <item m="1" x="135"/>
        <item m="1" x="200"/>
        <item m="1" x="204"/>
        <item m="1" x="159"/>
        <item m="1" x="134"/>
        <item m="1" x="151"/>
        <item m="1" x="196"/>
        <item m="1" x="201"/>
        <item m="1" x="94"/>
        <item m="1" x="123"/>
        <item m="1" x="105"/>
        <item m="1" x="143"/>
        <item m="1" x="32"/>
        <item m="1" x="144"/>
        <item m="1" x="156"/>
        <item m="1" x="133"/>
        <item m="1" x="141"/>
        <item x="4"/>
        <item x="0"/>
        <item m="1" x="146"/>
        <item m="1" x="99"/>
        <item m="1" x="208"/>
        <item x="10"/>
        <item x="6"/>
        <item m="1" x="157"/>
        <item m="1" x="179"/>
        <item m="1" x="213"/>
        <item m="1" x="185"/>
        <item m="1" x="95"/>
        <item m="1" x="49"/>
        <item m="1" x="70"/>
        <item x="2"/>
        <item x="15"/>
        <item m="1" x="82"/>
        <item m="1" x="80"/>
        <item m="1" x="54"/>
        <item m="1" x="40"/>
        <item m="1" x="119"/>
        <item m="1" x="75"/>
        <item m="1" x="194"/>
        <item m="1" x="122"/>
        <item m="1" x="120"/>
        <item m="1" x="86"/>
        <item m="1" x="55"/>
        <item m="1" x="220"/>
        <item m="1" x="83"/>
        <item m="1" x="65"/>
        <item m="1" x="187"/>
        <item m="1" x="29"/>
        <item m="1" x="33"/>
        <item m="1" x="175"/>
        <item m="1" x="100"/>
        <item m="1" x="173"/>
        <item m="1" x="174"/>
        <item m="1" x="145"/>
        <item m="1" x="136"/>
        <item m="1" x="18"/>
        <item m="1" x="96"/>
        <item m="1" x="41"/>
        <item m="1" x="44"/>
        <item m="1" x="51"/>
        <item m="1" x="52"/>
        <item m="1" x="78"/>
        <item m="1" x="128"/>
        <item m="1" x="177"/>
        <item m="1" x="46"/>
        <item m="1" x="17"/>
        <item m="1" x="224"/>
        <item m="1" x="77"/>
        <item m="1" x="115"/>
        <item m="1" x="217"/>
        <item m="1" x="149"/>
        <item m="1" x="161"/>
        <item m="1" x="168"/>
        <item m="1" x="71"/>
        <item m="1" x="106"/>
        <item m="1" x="186"/>
        <item m="1" x="26"/>
        <item m="1" x="142"/>
        <item m="1" x="37"/>
        <item m="1" x="222"/>
        <item m="1" x="189"/>
        <item m="1" x="36"/>
        <item m="1" x="193"/>
        <item m="1" x="31"/>
        <item m="1" x="63"/>
        <item m="1" x="103"/>
        <item x="13"/>
        <item x="1"/>
        <item x="8"/>
        <item m="1" x="24"/>
        <item m="1" x="191"/>
        <item m="1" x="102"/>
        <item m="1" x="198"/>
        <item m="1" x="48"/>
        <item m="1" x="85"/>
        <item m="1" x="42"/>
        <item m="1" x="114"/>
        <item m="1" x="62"/>
        <item m="1" x="214"/>
        <item m="1" x="190"/>
        <item m="1" x="59"/>
        <item m="1" x="130"/>
        <item m="1" x="164"/>
        <item m="1" x="50"/>
        <item m="1" x="178"/>
        <item m="1" x="197"/>
        <item m="1" x="126"/>
        <item m="1" x="169"/>
        <item m="1" x="64"/>
        <item m="1" x="22"/>
        <item m="1" x="47"/>
        <item m="1" x="53"/>
        <item m="1" x="97"/>
        <item m="1" x="60"/>
        <item m="1" x="88"/>
        <item m="1" x="93"/>
        <item m="1" x="131"/>
        <item m="1" x="98"/>
        <item m="1" x="167"/>
        <item m="1" x="39"/>
        <item m="1" x="38"/>
        <item m="1" x="30"/>
        <item m="1" x="76"/>
        <item m="1" x="165"/>
        <item m="1" x="210"/>
        <item m="1" x="104"/>
        <item m="1" x="84"/>
        <item x="9"/>
        <item m="1" x="73"/>
        <item m="1" x="225"/>
        <item m="1" x="72"/>
        <item m="1" x="192"/>
        <item m="1" x="101"/>
        <item m="1" x="110"/>
        <item x="5"/>
        <item m="1" x="155"/>
        <item x="7"/>
        <item x="1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  <pivotField dataField="1" showAll="0"/>
    <pivotField axis="axisPage" multipleItemSelectionAllowed="1" showAll="0">
      <items count="13">
        <item h="1" m="1" x="9"/>
        <item h="1" x="0"/>
        <item h="1" m="1" x="4"/>
        <item h="1" m="1" x="7"/>
        <item h="1" m="1" x="11"/>
        <item m="1" x="3"/>
        <item m="1" x="5"/>
        <item h="1" m="1" x="6"/>
        <item h="1" m="1" x="8"/>
        <item h="1" m="1" x="10"/>
        <item h="1" m="1" x="1"/>
        <item h="1" m="1" x="2"/>
        <item t="default"/>
      </items>
    </pivotField>
    <pivotField showAll="0"/>
  </pivotFields>
  <rowFields count="3">
    <field x="3"/>
    <field x="4"/>
    <field x="6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5" hier="-1"/>
    <pageField fld="10" hier="-1"/>
  </pageFields>
  <dataFields count="3">
    <dataField name="Soma de Gerente" fld="7" baseField="0" baseItem="0"/>
    <dataField name="Soma de VGV" fld="8" baseField="0" baseItem="0"/>
    <dataField name="Soma de Vendas" fld="9" baseField="0" baseItem="0"/>
  </dataFields>
  <formats count="1">
    <format dxfId="46">
      <pivotArea outline="0" collapsedLevelsAreSubtotals="1" fieldPosition="0"/>
    </format>
  </formats>
  <pivotTableStyleInfo name="PivotStyleMedium2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ela dinâmica2" cacheId="22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H3:J20" firstHeaderRow="1" firstDataRow="2" firstDataCol="1" rowPageCount="1" colPageCount="1"/>
  <pivotFields count="12">
    <pivotField showAll="0"/>
    <pivotField showAll="0"/>
    <pivotField showAll="0"/>
    <pivotField axis="axisPage" multipleItemSelectionAllowed="1" showAll="0">
      <items count="8">
        <item x="0"/>
        <item h="1" x="2"/>
        <item h="1"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axis="axisRow" showAll="0">
      <items count="228">
        <item m="1" x="117"/>
        <item m="1" x="202"/>
        <item m="1" x="150"/>
        <item m="1" x="124"/>
        <item m="1" x="125"/>
        <item m="1" x="129"/>
        <item m="1" x="209"/>
        <item m="1" x="154"/>
        <item m="1" x="171"/>
        <item m="1" x="203"/>
        <item m="1" x="20"/>
        <item m="1" x="184"/>
        <item m="1" x="92"/>
        <item m="1" x="81"/>
        <item m="1" x="211"/>
        <item m="1" x="107"/>
        <item m="1" x="108"/>
        <item m="1" x="158"/>
        <item m="1" x="87"/>
        <item m="1" x="199"/>
        <item m="1" x="212"/>
        <item m="1" x="113"/>
        <item x="3"/>
        <item m="1" x="160"/>
        <item m="1" x="90"/>
        <item m="1" x="61"/>
        <item m="1" x="111"/>
        <item m="1" x="139"/>
        <item m="1" x="34"/>
        <item m="1" x="195"/>
        <item m="1" x="121"/>
        <item m="1" x="188"/>
        <item m="1" x="138"/>
        <item m="1" x="140"/>
        <item m="1" x="219"/>
        <item m="1" x="67"/>
        <item m="1" x="74"/>
        <item m="1" x="27"/>
        <item m="1" x="112"/>
        <item m="1" x="176"/>
        <item m="1" x="183"/>
        <item x="14"/>
        <item m="1" x="21"/>
        <item m="1" x="206"/>
        <item m="1" x="58"/>
        <item m="1" x="35"/>
        <item m="1" x="66"/>
        <item m="1" x="68"/>
        <item m="1" x="153"/>
        <item m="1" x="43"/>
        <item m="1" x="221"/>
        <item m="1" x="69"/>
        <item m="1" x="132"/>
        <item m="1" x="89"/>
        <item m="1" x="137"/>
        <item m="1" x="218"/>
        <item m="1" x="216"/>
        <item m="1" x="172"/>
        <item x="11"/>
        <item m="1" x="79"/>
        <item m="1" x="56"/>
        <item m="1" x="163"/>
        <item m="1" x="118"/>
        <item m="1" x="147"/>
        <item m="1" x="207"/>
        <item m="1" x="25"/>
        <item m="1" x="166"/>
        <item m="1" x="57"/>
        <item m="1" x="170"/>
        <item m="1" x="148"/>
        <item m="1" x="45"/>
        <item m="1" x="135"/>
        <item m="1" x="200"/>
        <item m="1" x="204"/>
        <item m="1" x="159"/>
        <item m="1" x="134"/>
        <item m="1" x="151"/>
        <item m="1" x="196"/>
        <item m="1" x="201"/>
        <item m="1" x="94"/>
        <item m="1" x="123"/>
        <item m="1" x="105"/>
        <item m="1" x="143"/>
        <item m="1" x="32"/>
        <item m="1" x="144"/>
        <item m="1" x="156"/>
        <item m="1" x="133"/>
        <item m="1" x="141"/>
        <item x="4"/>
        <item x="0"/>
        <item m="1" x="146"/>
        <item m="1" x="99"/>
        <item m="1" x="208"/>
        <item x="10"/>
        <item x="6"/>
        <item m="1" x="157"/>
        <item m="1" x="179"/>
        <item m="1" x="213"/>
        <item m="1" x="185"/>
        <item m="1" x="95"/>
        <item m="1" x="49"/>
        <item m="1" x="70"/>
        <item x="2"/>
        <item x="15"/>
        <item m="1" x="82"/>
        <item m="1" x="80"/>
        <item m="1" x="54"/>
        <item m="1" x="40"/>
        <item m="1" x="119"/>
        <item m="1" x="75"/>
        <item m="1" x="194"/>
        <item m="1" x="122"/>
        <item m="1" x="120"/>
        <item m="1" x="86"/>
        <item m="1" x="55"/>
        <item m="1" x="220"/>
        <item m="1" x="83"/>
        <item m="1" x="65"/>
        <item m="1" x="187"/>
        <item m="1" x="33"/>
        <item m="1" x="175"/>
        <item m="1" x="100"/>
        <item m="1" x="173"/>
        <item m="1" x="174"/>
        <item m="1" x="145"/>
        <item m="1" x="136"/>
        <item m="1" x="18"/>
        <item m="1" x="96"/>
        <item m="1" x="41"/>
        <item m="1" x="44"/>
        <item m="1" x="51"/>
        <item m="1" x="52"/>
        <item m="1" x="78"/>
        <item m="1" x="128"/>
        <item m="1" x="177"/>
        <item m="1" x="46"/>
        <item m="1" x="17"/>
        <item m="1" x="226"/>
        <item m="1" x="91"/>
        <item m="1" x="181"/>
        <item m="1" x="182"/>
        <item m="1" x="127"/>
        <item m="1" x="223"/>
        <item m="1" x="152"/>
        <item m="1" x="19"/>
        <item m="1" x="215"/>
        <item m="1" x="28"/>
        <item m="1" x="29"/>
        <item m="1" x="23"/>
        <item m="1" x="109"/>
        <item m="1" x="180"/>
        <item m="1" x="162"/>
        <item m="1" x="205"/>
        <item x="12"/>
        <item m="1" x="116"/>
        <item m="1" x="224"/>
        <item m="1" x="77"/>
        <item m="1" x="115"/>
        <item m="1" x="217"/>
        <item m="1" x="149"/>
        <item m="1" x="161"/>
        <item m="1" x="168"/>
        <item m="1" x="71"/>
        <item m="1" x="106"/>
        <item m="1" x="186"/>
        <item m="1" x="26"/>
        <item m="1" x="142"/>
        <item m="1" x="37"/>
        <item m="1" x="222"/>
        <item m="1" x="189"/>
        <item m="1" x="36"/>
        <item m="1" x="193"/>
        <item m="1" x="31"/>
        <item m="1" x="63"/>
        <item m="1" x="103"/>
        <item x="13"/>
        <item x="1"/>
        <item x="8"/>
        <item m="1" x="24"/>
        <item m="1" x="191"/>
        <item m="1" x="102"/>
        <item m="1" x="198"/>
        <item m="1" x="48"/>
        <item m="1" x="85"/>
        <item m="1" x="42"/>
        <item m="1" x="114"/>
        <item m="1" x="62"/>
        <item m="1" x="214"/>
        <item m="1" x="190"/>
        <item m="1" x="59"/>
        <item m="1" x="130"/>
        <item m="1" x="164"/>
        <item m="1" x="50"/>
        <item m="1" x="178"/>
        <item m="1" x="197"/>
        <item m="1" x="126"/>
        <item m="1" x="169"/>
        <item m="1" x="64"/>
        <item m="1" x="22"/>
        <item m="1" x="47"/>
        <item m="1" x="53"/>
        <item m="1" x="97"/>
        <item m="1" x="60"/>
        <item m="1" x="88"/>
        <item m="1" x="93"/>
        <item m="1" x="131"/>
        <item m="1" x="98"/>
        <item m="1" x="167"/>
        <item m="1" x="39"/>
        <item m="1" x="38"/>
        <item m="1" x="30"/>
        <item m="1" x="76"/>
        <item m="1" x="165"/>
        <item m="1" x="210"/>
        <item m="1" x="104"/>
        <item m="1" x="84"/>
        <item x="9"/>
        <item m="1" x="73"/>
        <item m="1" x="225"/>
        <item m="1" x="72"/>
        <item m="1" x="192"/>
        <item m="1" x="101"/>
        <item m="1" x="110"/>
        <item x="5"/>
        <item m="1" x="155"/>
        <item x="7"/>
        <item x="16"/>
        <item t="default"/>
      </items>
    </pivotField>
    <pivotField showAll="0"/>
    <pivotField dataField="1" showAll="0"/>
    <pivotField dataField="1" showAll="0"/>
    <pivotField axis="axisRow" numFmtId="171" showAll="0">
      <items count="13">
        <item m="1" x="9"/>
        <item x="0"/>
        <item m="1" x="4"/>
        <item m="1" x="7"/>
        <item m="1" x="11"/>
        <item m="1" x="3"/>
        <item m="1" x="5"/>
        <item m="1" x="6"/>
        <item m="1" x="8"/>
        <item m="1" x="10"/>
        <item m="1" x="1"/>
        <item m="1" x="2"/>
        <item t="default"/>
      </items>
    </pivotField>
    <pivotField axis="axisRow" numFmtId="171" showAll="0">
      <items count="6">
        <item m="1" x="2"/>
        <item m="1" x="4"/>
        <item m="1" x="3"/>
        <item m="1" x="1"/>
        <item x="0"/>
        <item t="default"/>
      </items>
    </pivotField>
  </pivotFields>
  <rowFields count="3">
    <field x="11"/>
    <field x="10"/>
    <field x="6"/>
  </rowFields>
  <rowItems count="16">
    <i>
      <x v="4"/>
    </i>
    <i r="1">
      <x v="1"/>
    </i>
    <i r="2">
      <x v="22"/>
    </i>
    <i r="2">
      <x v="41"/>
    </i>
    <i r="2">
      <x v="58"/>
    </i>
    <i r="2">
      <x v="88"/>
    </i>
    <i r="2">
      <x v="89"/>
    </i>
    <i r="2">
      <x v="93"/>
    </i>
    <i r="2">
      <x v="94"/>
    </i>
    <i r="2">
      <x v="102"/>
    </i>
    <i r="2">
      <x v="103"/>
    </i>
    <i r="2">
      <x v="216"/>
    </i>
    <i r="2">
      <x v="223"/>
    </i>
    <i r="2">
      <x v="225"/>
    </i>
    <i r="2">
      <x v="226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oma de VGV" fld="8" baseField="0" baseItem="0"/>
    <dataField name="Soma de Vendas" fld="9" baseField="0" baseItem="0"/>
  </dataFields>
  <pivotTableStyleInfo name="PivotStyleMedium2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ela dinâmica1" cacheId="22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3:C13" firstHeaderRow="1" firstDataRow="2" firstDataCol="1" rowPageCount="1" colPageCount="1"/>
  <pivotFields count="12">
    <pivotField showAll="0"/>
    <pivotField showAll="0"/>
    <pivotField showAll="0"/>
    <pivotField axis="axisPage" multipleItemSelectionAllowed="1" showAll="0">
      <items count="8">
        <item x="0"/>
        <item h="1" x="2"/>
        <item h="1"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showAll="0"/>
    <pivotField axis="axisRow" showAll="0">
      <items count="10">
        <item x="6"/>
        <item x="7"/>
        <item x="3"/>
        <item x="2"/>
        <item x="0"/>
        <item x="1"/>
        <item x="5"/>
        <item x="4"/>
        <item m="1" x="8"/>
        <item t="default"/>
      </items>
    </pivotField>
    <pivotField dataField="1" showAll="0"/>
    <pivotField dataField="1" showAll="0"/>
    <pivotField axis="axisRow" numFmtId="171" showAll="0">
      <items count="13">
        <item m="1" x="9"/>
        <item x="0"/>
        <item m="1" x="4"/>
        <item m="1" x="7"/>
        <item m="1" x="11"/>
        <item m="1" x="3"/>
        <item m="1" x="5"/>
        <item m="1" x="6"/>
        <item m="1" x="8"/>
        <item m="1" x="10"/>
        <item m="1" x="1"/>
        <item m="1" x="2"/>
        <item t="default"/>
      </items>
    </pivotField>
    <pivotField axis="axisRow" numFmtId="171" showAll="0">
      <items count="6">
        <item m="1" x="2"/>
        <item m="1" x="4"/>
        <item m="1" x="3"/>
        <item m="1" x="1"/>
        <item x="0"/>
        <item t="default"/>
      </items>
    </pivotField>
  </pivotFields>
  <rowFields count="3">
    <field x="11"/>
    <field x="10"/>
    <field x="7"/>
  </rowFields>
  <rowItems count="9">
    <i>
      <x v="4"/>
    </i>
    <i r="1">
      <x v="1"/>
    </i>
    <i r="2">
      <x/>
    </i>
    <i r="2">
      <x v="1"/>
    </i>
    <i r="2">
      <x v="2"/>
    </i>
    <i r="2">
      <x v="3"/>
    </i>
    <i r="2">
      <x v="4"/>
    </i>
    <i r="2"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oma de VGV" fld="8" baseField="0" baseItem="0"/>
    <dataField name="Soma de Vendas" fld="9" baseField="0" baseItem="0"/>
  </dataFields>
  <formats count="16">
    <format dxfId="62">
      <pivotArea collapsedLevelsAreSubtotals="1" fieldPosition="0">
        <references count="3">
          <reference field="4294967294" count="1" selected="0">
            <x v="0"/>
          </reference>
          <reference field="10" count="1">
            <x v="0"/>
          </reference>
          <reference field="11" count="1" selected="0">
            <x v="1"/>
          </reference>
        </references>
      </pivotArea>
    </format>
    <format dxfId="61">
      <pivotArea collapsedLevelsAreSubtotals="1" fieldPosition="0">
        <references count="4">
          <reference field="4294967294" count="1" selected="0">
            <x v="0"/>
          </reference>
          <reference field="7" count="4">
            <x v="0"/>
            <x v="2"/>
            <x v="3"/>
            <x v="4"/>
          </reference>
          <reference field="10" count="1" selected="0">
            <x v="0"/>
          </reference>
          <reference field="11" count="1" selected="0">
            <x v="1"/>
          </reference>
        </references>
      </pivotArea>
    </format>
    <format dxfId="60">
      <pivotArea collapsedLevelsAreSubtotals="1" fieldPosition="0">
        <references count="3">
          <reference field="4294967294" count="1" selected="0">
            <x v="0"/>
          </reference>
          <reference field="10" count="1">
            <x v="1"/>
          </reference>
          <reference field="11" count="1" selected="0">
            <x v="1"/>
          </reference>
        </references>
      </pivotArea>
    </format>
    <format dxfId="59">
      <pivotArea collapsedLevelsAreSubtotals="1" fieldPosition="0">
        <references count="4">
          <reference field="4294967294" count="1" selected="0">
            <x v="0"/>
          </reference>
          <reference field="7" count="4">
            <x v="0"/>
            <x v="2"/>
            <x v="3"/>
            <x v="4"/>
          </reference>
          <reference field="10" count="1" selected="0">
            <x v="1"/>
          </reference>
          <reference field="11" count="1" selected="0">
            <x v="1"/>
          </reference>
        </references>
      </pivotArea>
    </format>
    <format dxfId="58">
      <pivotArea collapsedLevelsAreSubtotals="1" fieldPosition="0">
        <references count="3">
          <reference field="4294967294" count="1" selected="0">
            <x v="0"/>
          </reference>
          <reference field="10" count="1">
            <x v="2"/>
          </reference>
          <reference field="11" count="1" selected="0">
            <x v="1"/>
          </reference>
        </references>
      </pivotArea>
    </format>
    <format dxfId="57">
      <pivotArea collapsedLevelsAreSubtotals="1" fieldPosition="0">
        <references count="4">
          <reference field="4294967294" count="1" selected="0">
            <x v="0"/>
          </reference>
          <reference field="7" count="5">
            <x v="0"/>
            <x v="1"/>
            <x v="2"/>
            <x v="3"/>
            <x v="4"/>
          </reference>
          <reference field="10" count="1" selected="0">
            <x v="2"/>
          </reference>
          <reference field="11" count="1" selected="0">
            <x v="1"/>
          </reference>
        </references>
      </pivotArea>
    </format>
    <format dxfId="56">
      <pivotArea collapsedLevelsAreSubtotals="1" fieldPosition="0">
        <references count="3">
          <reference field="4294967294" count="1" selected="0">
            <x v="0"/>
          </reference>
          <reference field="10" count="1">
            <x v="3"/>
          </reference>
          <reference field="11" count="1" selected="0">
            <x v="1"/>
          </reference>
        </references>
      </pivotArea>
    </format>
    <format dxfId="55">
      <pivotArea collapsedLevelsAreSubtotals="1" fieldPosition="0">
        <references count="4">
          <reference field="4294967294" count="1" selected="0">
            <x v="0"/>
          </reference>
          <reference field="7" count="5">
            <x v="0"/>
            <x v="1"/>
            <x v="2"/>
            <x v="3"/>
            <x v="4"/>
          </reference>
          <reference field="10" count="1" selected="0">
            <x v="3"/>
          </reference>
          <reference field="11" count="1" selected="0">
            <x v="1"/>
          </reference>
        </references>
      </pivotArea>
    </format>
    <format dxfId="54">
      <pivotArea collapsedLevelsAreSubtotals="1" fieldPosition="0">
        <references count="3">
          <reference field="4294967294" count="1" selected="0">
            <x v="0"/>
          </reference>
          <reference field="10" count="1">
            <x v="4"/>
          </reference>
          <reference field="11" count="1" selected="0">
            <x v="1"/>
          </reference>
        </references>
      </pivotArea>
    </format>
    <format dxfId="53">
      <pivotArea collapsedLevelsAreSubtotals="1" fieldPosition="0">
        <references count="4">
          <reference field="4294967294" count="1" selected="0">
            <x v="0"/>
          </reference>
          <reference field="7" count="5">
            <x v="0"/>
            <x v="1"/>
            <x v="2"/>
            <x v="3"/>
            <x v="4"/>
          </reference>
          <reference field="10" count="1" selected="0">
            <x v="4"/>
          </reference>
          <reference field="11" count="1" selected="0">
            <x v="1"/>
          </reference>
        </references>
      </pivotArea>
    </format>
    <format dxfId="52">
      <pivotArea collapsedLevelsAreSubtotals="1" fieldPosition="0">
        <references count="3">
          <reference field="4294967294" count="1" selected="0">
            <x v="0"/>
          </reference>
          <reference field="10" count="1">
            <x v="5"/>
          </reference>
          <reference field="11" count="1" selected="0">
            <x v="1"/>
          </reference>
        </references>
      </pivotArea>
    </format>
    <format dxfId="51">
      <pivotArea collapsedLevelsAreSubtotals="1" fieldPosition="0">
        <references count="4">
          <reference field="4294967294" count="1" selected="0">
            <x v="0"/>
          </reference>
          <reference field="7" count="5">
            <x v="0"/>
            <x v="1"/>
            <x v="2"/>
            <x v="3"/>
            <x v="4"/>
          </reference>
          <reference field="10" count="1" selected="0">
            <x v="5"/>
          </reference>
          <reference field="11" count="1" selected="0">
            <x v="1"/>
          </reference>
        </references>
      </pivotArea>
    </format>
    <format dxfId="50">
      <pivotArea collapsedLevelsAreSubtotals="1" fieldPosition="0">
        <references count="3">
          <reference field="4294967294" count="1" selected="0">
            <x v="0"/>
          </reference>
          <reference field="10" count="1">
            <x v="6"/>
          </reference>
          <reference field="11" count="1" selected="0">
            <x v="1"/>
          </reference>
        </references>
      </pivotArea>
    </format>
    <format dxfId="49">
      <pivotArea collapsedLevelsAreSubtotals="1" fieldPosition="0">
        <references count="4">
          <reference field="4294967294" count="1" selected="0">
            <x v="0"/>
          </reference>
          <reference field="7" count="5">
            <x v="0"/>
            <x v="1"/>
            <x v="2"/>
            <x v="3"/>
            <x v="4"/>
          </reference>
          <reference field="10" count="1" selected="0">
            <x v="6"/>
          </reference>
          <reference field="11" count="1" selected="0">
            <x v="1"/>
          </reference>
        </references>
      </pivotArea>
    </format>
    <format dxfId="48">
      <pivotArea field="1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47">
      <pivotArea collapsedLevelsAreSubtotals="1" fieldPosition="0">
        <references count="2">
          <reference field="4294967294" count="1" selected="0">
            <x v="0"/>
          </reference>
          <reference field="11" count="1">
            <x v="1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ela dinâmica3" cacheId="22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T4:V6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0"/>
        <item x="1"/>
        <item x="2"/>
        <item m="1" x="3"/>
        <item t="default"/>
      </items>
    </pivotField>
    <pivotField axis="axisPage" multipleItemSelectionAllowed="1" showAll="0">
      <items count="271">
        <item h="1" m="1" x="23"/>
        <item h="1" m="1" x="218"/>
        <item h="1" m="1" x="84"/>
        <item h="1" m="1" x="17"/>
        <item h="1" m="1" x="80"/>
        <item h="1" m="1" x="140"/>
        <item h="1" m="1" x="204"/>
        <item h="1" m="1" x="71"/>
        <item h="1" m="1" x="262"/>
        <item h="1" m="1" x="196"/>
        <item h="1" m="1" x="128"/>
        <item h="1" m="1" x="189"/>
        <item h="1" m="1" x="124"/>
        <item h="1" m="1" x="58"/>
        <item h="1" m="1" x="250"/>
        <item h="1" m="1" x="183"/>
        <item h="1" m="1" x="138"/>
        <item h="1" m="1" x="75"/>
        <item h="1" m="1" x="266"/>
        <item h="1" m="1" x="201"/>
        <item h="1" m="1" x="259"/>
        <item h="1" m="1" x="193"/>
        <item h="1" m="1" x="63"/>
        <item h="1" m="1" x="56"/>
        <item h="1" m="1" x="51"/>
        <item h="1" m="1" x="242"/>
        <item h="1" m="1" x="112"/>
        <item h="1" m="1" x="171"/>
        <item h="1" m="1" x="107"/>
        <item h="1" m="1" x="39"/>
        <item h="1" m="1" x="234"/>
        <item h="1" m="1" x="166"/>
        <item h="1" m="1" x="180"/>
        <item h="1" m="1" x="116"/>
        <item h="1" m="1" x="48"/>
        <item h="1" m="1" x="238"/>
        <item h="1" m="1" x="42"/>
        <item h="1" m="1" x="105"/>
        <item h="1" m="1" x="38"/>
        <item h="1" m="1" x="165"/>
        <item h="1" m="1" x="100"/>
        <item h="1" m="1" x="35"/>
        <item h="1" m="1" x="162"/>
        <item h="1" m="1" x="95"/>
        <item h="1" m="1" x="31"/>
        <item h="1" m="1" x="158"/>
        <item h="1" m="1" x="27"/>
        <item h="1" m="1" x="223"/>
        <item h="1" m="1" x="152"/>
        <item h="1" m="1" x="21"/>
        <item h="1" m="1" x="217"/>
        <item h="1" m="1" x="226"/>
        <item h="1" m="1" x="155"/>
        <item h="1" m="1" x="90"/>
        <item h="1" m="1" x="25"/>
        <item h="1" m="1" x="221"/>
        <item h="1" m="1" x="150"/>
        <item h="1" m="1" x="85"/>
        <item h="1" m="1" x="18"/>
        <item h="1" m="1" x="214"/>
        <item h="1" m="1" x="145"/>
        <item h="1" m="1" x="14"/>
        <item h="1" m="1" x="211"/>
        <item h="1" m="1" x="79"/>
        <item h="1" m="1" x="136"/>
        <item h="1" m="1" x="73"/>
        <item h="1" m="1" x="199"/>
        <item h="1" m="1" x="130"/>
        <item h="1" m="1" x="66"/>
        <item h="1" m="1" x="126"/>
        <item h="1" m="1" x="208"/>
        <item h="1" m="1" x="139"/>
        <item m="1" x="76"/>
        <item h="1" m="1" x="268"/>
        <item h="1" m="1" x="202"/>
        <item h="1" m="1" x="133"/>
        <item h="1" m="1" x="69"/>
        <item h="1" m="1" x="261"/>
        <item h="1" m="1" x="195"/>
        <item h="1" m="1" x="64"/>
        <item h="1" m="1" x="254"/>
        <item h="1" m="1" x="188"/>
        <item h="1" m="1" x="249"/>
        <item h="1" m="1" x="182"/>
        <item h="1" m="1" x="120"/>
        <item h="1" m="1" x="52"/>
        <item h="1" m="1" x="244"/>
        <item h="1" m="1" x="178"/>
        <item h="1" m="1" x="114"/>
        <item h="1" m="1" x="46"/>
        <item h="1" m="1" x="173"/>
        <item h="1" m="1" x="109"/>
        <item h="1" m="1" x="40"/>
        <item h="1" m="1" x="235"/>
        <item h="1" m="1" x="168"/>
        <item h="1" m="1" x="104"/>
        <item h="1" m="1" x="118"/>
        <item h="1" m="1" x="49"/>
        <item h="1" m="1" x="240"/>
        <item h="1" m="1" x="44"/>
        <item h="1" m="1" x="170"/>
        <item h="1" m="1" x="106"/>
        <item h="1" m="1" x="233"/>
        <item h="1" m="1" x="102"/>
        <item h="1" m="1" x="36"/>
        <item h="1" m="1" x="163"/>
        <item h="1" m="1" x="97"/>
        <item h="1" m="1" x="33"/>
        <item h="1" m="1" x="160"/>
        <item h="1" m="1" x="93"/>
        <item h="1" m="1" x="28"/>
        <item h="1" m="1" x="225"/>
        <item h="1" m="1" x="154"/>
        <item h="1" m="1" x="88"/>
        <item h="1" m="1" x="219"/>
        <item m="1" x="99"/>
        <item m="1" x="34"/>
        <item m="1" x="230"/>
        <item m="1" x="94"/>
        <item m="1" x="30"/>
        <item m="1" x="228"/>
        <item m="1" x="157"/>
        <item m="1" x="91"/>
        <item m="1" x="26"/>
        <item m="1" x="222"/>
        <item m="1" x="151"/>
        <item m="1" x="86"/>
        <item m="1" x="20"/>
        <item m="1" x="216"/>
        <item m="1" x="147"/>
        <item m="1" x="83"/>
        <item m="1" x="16"/>
        <item m="1" x="269"/>
        <item m="1" x="207"/>
        <item m="1" x="267"/>
        <item m="1" x="132"/>
        <item m="1" x="68"/>
        <item m="1" x="260"/>
        <item m="1" x="194"/>
        <item h="1" m="1" x="143"/>
        <item h="1" m="1" x="12"/>
        <item h="1" m="1" x="78"/>
        <item h="1" m="1" x="263"/>
        <item h="1" m="1" x="197"/>
        <item h="1" m="1" x="256"/>
        <item h="1" m="1" x="191"/>
        <item h="1" m="1" x="60"/>
        <item h="1" m="1" x="252"/>
        <item h="1" m="1" x="185"/>
        <item h="1" m="1" x="121"/>
        <item h="1" m="1" x="54"/>
        <item h="1" m="1" x="117"/>
        <item h="1" m="1" x="246"/>
        <item h="1" m="1" x="239"/>
        <item h="1" m="1" x="175"/>
        <item h="1" m="1" x="111"/>
        <item h="1" m="1" x="236"/>
        <item h="1" m="1" x="43"/>
        <item h="1" m="1" x="123"/>
        <item h="1" m="1" x="57"/>
        <item h="1" m="1" x="248"/>
        <item h="1" m="1" x="243"/>
        <item h="1" m="1" x="177"/>
        <item h="1" m="1" x="113"/>
        <item h="1" m="1" x="45"/>
        <item h="1" m="1" x="237"/>
        <item h="1" m="1" x="172"/>
        <item h="1" m="1" x="108"/>
        <item h="1" m="1" x="167"/>
        <item h="1" m="1" x="103"/>
        <item h="1" m="1" x="164"/>
        <item h="1" m="1" x="98"/>
        <item h="1" m="1" x="229"/>
        <item h="1" m="1" x="161"/>
        <item h="1" m="1" x="227"/>
        <item h="1" m="1" x="156"/>
        <item h="1" m="1" x="232"/>
        <item h="1" m="1" x="101"/>
        <item h="1" m="1" x="231"/>
        <item h="1" m="1" x="96"/>
        <item h="1" m="1" x="32"/>
        <item h="1" m="1" x="159"/>
        <item h="1" m="1" x="92"/>
        <item h="1" m="1" x="224"/>
        <item h="1" m="1" x="87"/>
        <item h="1" m="1" x="22"/>
        <item h="1" m="1" x="148"/>
        <item h="1" m="1" x="213"/>
        <item h="1" m="1" x="11"/>
        <item h="1" m="1" x="77"/>
        <item h="1" m="1" x="203"/>
        <item h="1" m="1" x="134"/>
        <item h="1" m="1" x="70"/>
        <item h="1" m="1" x="146"/>
        <item h="1" m="1" x="215"/>
        <item h="1" m="1" x="82"/>
        <item h="1" m="1" x="15"/>
        <item h="1" m="1" x="212"/>
        <item h="1" m="1" x="142"/>
        <item h="1" m="1" x="206"/>
        <item h="1" m="1" x="137"/>
        <item h="1" m="1" x="258"/>
        <item h="1" m="1" x="74"/>
        <item h="1" m="1" x="200"/>
        <item h="1" m="1" x="131"/>
        <item h="1" m="1" x="265"/>
        <item h="1" m="1" x="192"/>
        <item h="1" m="1" x="67"/>
        <item h="1" m="1" x="153"/>
        <item h="1" m="1" x="253"/>
        <item h="1" m="1" x="19"/>
        <item h="1" m="1" x="127"/>
        <item h="1" m="1" x="62"/>
        <item h="1" m="1" x="187"/>
        <item h="1" m="1" x="122"/>
        <item h="1" m="1" x="55"/>
        <item h="1" m="1" x="247"/>
        <item h="1" m="1" x="241"/>
        <item h="1" m="1" x="176"/>
        <item h="1" m="1" x="181"/>
        <item h="1" m="1" x="50"/>
        <item h="1" m="1" x="119"/>
        <item h="1" m="1" x="255"/>
        <item h="1" m="1" x="190"/>
        <item h="1" m="1" x="125"/>
        <item h="1" m="1" x="59"/>
        <item h="1" m="1" x="251"/>
        <item h="1" m="1" x="184"/>
        <item h="1" m="1" x="245"/>
        <item h="1" m="1" x="53"/>
        <item h="1" m="1" x="179"/>
        <item h="1" m="1" x="115"/>
        <item h="1" m="1" x="47"/>
        <item h="1" m="1" x="174"/>
        <item h="1" m="1" x="110"/>
        <item h="1" m="1" x="41"/>
        <item h="1" m="1" x="209"/>
        <item h="1" m="1" x="169"/>
        <item h="1" m="1" x="37"/>
        <item h="1" m="1" x="89"/>
        <item h="1" m="1" x="29"/>
        <item h="1" m="1" x="24"/>
        <item h="1" m="1" x="220"/>
        <item h="1" m="1" x="149"/>
        <item h="1" m="1" x="144"/>
        <item h="1" m="1" x="81"/>
        <item h="1" m="1" x="13"/>
        <item h="1" m="1" x="210"/>
        <item h="1" m="1" x="141"/>
        <item h="1" m="1" x="205"/>
        <item h="1" m="1" x="135"/>
        <item h="1" m="1" x="72"/>
        <item h="1" m="1" x="264"/>
        <item h="1" m="1" x="198"/>
        <item h="1" m="1" x="129"/>
        <item h="1" m="1" x="65"/>
        <item h="1" m="1" x="257"/>
        <item h="1" m="1" x="186"/>
        <item h="1" x="0"/>
        <item h="1" x="1"/>
        <item h="1" m="1" x="61"/>
        <item h="1" x="2"/>
        <item h="1" x="3"/>
        <item h="1" x="4"/>
        <item h="1" x="6"/>
        <item h="1" x="5"/>
        <item h="1" x="7"/>
        <item h="1" x="8"/>
        <item h="1" x="9"/>
        <item h="1" x="10"/>
        <item t="default"/>
      </items>
    </pivotField>
    <pivotField showAll="0"/>
    <pivotField axis="axisRow" showAll="0" sortType="descending">
      <items count="10">
        <item x="6"/>
        <item x="1"/>
        <item x="7"/>
        <item x="3"/>
        <item x="5"/>
        <item x="2"/>
        <item x="0"/>
        <item x="4"/>
        <item m="1"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axis="axisPage" multipleItemSelectionAllowed="1" showAll="0">
      <items count="13">
        <item h="1" m="1" x="9"/>
        <item h="1" x="0"/>
        <item h="1" m="1" x="4"/>
        <item h="1" m="1" x="7"/>
        <item h="1" m="1" x="11"/>
        <item h="1" m="1" x="3"/>
        <item m="1" x="5"/>
        <item h="1" m="1" x="6"/>
        <item h="1" m="1" x="8"/>
        <item h="1" m="1" x="10"/>
        <item h="1" m="1" x="1"/>
        <item h="1" m="1" x="2"/>
        <item t="default"/>
      </items>
    </pivotField>
    <pivotField showAll="0"/>
  </pivotFields>
  <rowFields count="3">
    <field x="3"/>
    <field x="4"/>
    <field x="7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5" hier="-1"/>
    <pageField fld="10" hier="-1"/>
  </pageFields>
  <dataFields count="2">
    <dataField name="Soma de VGV" fld="8" baseField="0" baseItem="0"/>
    <dataField name="Soma de Vendas" fld="9" baseField="0" baseItem="0"/>
  </dataFields>
  <formats count="13">
    <format dxfId="75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74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7" count="4">
            <x v="0"/>
            <x v="3"/>
            <x v="5"/>
            <x v="6"/>
          </reference>
        </references>
      </pivotArea>
    </format>
    <format dxfId="73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>
            <x v="1"/>
          </reference>
        </references>
      </pivotArea>
    </format>
    <format dxfId="72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  <reference field="7" count="5">
            <x v="0"/>
            <x v="2"/>
            <x v="3"/>
            <x v="5"/>
            <x v="6"/>
          </reference>
        </references>
      </pivotArea>
    </format>
    <format dxfId="71">
      <pivotArea collapsedLevelsAreSubtotals="1" fieldPosition="0">
        <references count="2">
          <reference field="4294967294" count="1" selected="0">
            <x v="0"/>
          </reference>
          <reference field="3" count="1">
            <x v="2"/>
          </reference>
        </references>
      </pivotArea>
    </format>
    <format dxfId="70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>
            <x v="2"/>
          </reference>
        </references>
      </pivotArea>
    </format>
    <format dxfId="69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  <reference field="7" count="1">
            <x v="4"/>
          </reference>
        </references>
      </pivotArea>
    </format>
    <format dxfId="68">
      <pivotArea collapsedLevelsAreSubtotals="1" fieldPosition="0">
        <references count="2">
          <reference field="4294967294" count="1" selected="0">
            <x v="0"/>
          </reference>
          <reference field="3" count="1">
            <x v="3"/>
          </reference>
        </references>
      </pivotArea>
    </format>
    <format dxfId="67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>
            <x v="0"/>
          </reference>
        </references>
      </pivotArea>
    </format>
    <format dxfId="66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  <reference field="7" count="1">
            <x v="1"/>
          </reference>
        </references>
      </pivotArea>
    </format>
    <format dxfId="65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>
            <x v="1"/>
          </reference>
        </references>
      </pivotArea>
    </format>
    <format dxfId="64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  <reference field="7" count="1">
            <x v="1"/>
          </reference>
        </references>
      </pivotArea>
    </format>
    <format dxfId="63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Tabela dinâmica1" cacheId="22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4:B5" firstHeaderRow="1" firstDataRow="1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0"/>
        <item x="1"/>
        <item x="2"/>
        <item m="1" x="3"/>
        <item t="default"/>
      </items>
    </pivotField>
    <pivotField showAll="0"/>
    <pivotField showAll="0"/>
    <pivotField axis="axisRow" showAll="0">
      <items count="10">
        <item x="6"/>
        <item x="1"/>
        <item x="7"/>
        <item x="3"/>
        <item x="5"/>
        <item x="2"/>
        <item x="0"/>
        <item x="4"/>
        <item m="1" x="8"/>
        <item t="default"/>
      </items>
    </pivotField>
    <pivotField dataField="1" showAll="0"/>
    <pivotField showAll="0"/>
    <pivotField axis="axisPage" multipleItemSelectionAllowed="1" showAll="0">
      <items count="13">
        <item h="1" m="1" x="9"/>
        <item h="1" x="0"/>
        <item h="1" m="1" x="4"/>
        <item h="1" m="1" x="7"/>
        <item h="1" m="1" x="11"/>
        <item h="1" m="1" x="3"/>
        <item h="1" m="1" x="5"/>
        <item m="1" x="6"/>
        <item h="1" m="1" x="8"/>
        <item h="1" m="1" x="10"/>
        <item h="1" m="1" x="1"/>
        <item h="1" m="1" x="2"/>
        <item t="default"/>
      </items>
    </pivotField>
    <pivotField axis="axisPage" showAll="0">
      <items count="6">
        <item m="1" x="2"/>
        <item m="1" x="3"/>
        <item m="1" x="4"/>
        <item m="1" x="1"/>
        <item x="0"/>
        <item t="default"/>
      </items>
    </pivotField>
  </pivotFields>
  <rowFields count="3">
    <field x="3"/>
    <field x="4"/>
    <field x="7"/>
  </rowFields>
  <rowItems count="1">
    <i t="grand">
      <x/>
    </i>
  </rowItems>
  <colItems count="1">
    <i/>
  </colItems>
  <pageFields count="2">
    <pageField fld="11" hier="-1"/>
    <pageField fld="10" hier="-1"/>
  </pageFields>
  <dataFields count="1">
    <dataField name="Soma de VGV" fld="8" baseField="0" baseItem="0"/>
  </dataFields>
  <formats count="16">
    <format dxfId="45">
      <pivotArea collapsedLevelsAreSubtotals="1" fieldPosition="0">
        <references count="2">
          <reference field="3" count="1" selected="0">
            <x v="0"/>
          </reference>
          <reference field="4" count="1">
            <x v="0"/>
          </reference>
        </references>
      </pivotArea>
    </format>
    <format dxfId="44">
      <pivotArea collapsedLevelsAreSubtotals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7" count="5">
            <x v="0"/>
            <x v="2"/>
            <x v="3"/>
            <x v="5"/>
            <x v="6"/>
          </reference>
        </references>
      </pivotArea>
    </format>
    <format dxfId="43">
      <pivotArea collapsedLevelsAreSubtotals="1" fieldPosition="0">
        <references count="2">
          <reference field="3" count="1" selected="0">
            <x v="0"/>
          </reference>
          <reference field="4" count="1">
            <x v="1"/>
          </reference>
        </references>
      </pivotArea>
    </format>
    <format dxfId="42">
      <pivotArea collapsedLevelsAreSubtotals="1" fieldPosition="0">
        <references count="3">
          <reference field="3" count="1" selected="0">
            <x v="0"/>
          </reference>
          <reference field="4" count="1" selected="0">
            <x v="1"/>
          </reference>
          <reference field="7" count="5">
            <x v="0"/>
            <x v="2"/>
            <x v="3"/>
            <x v="5"/>
            <x v="6"/>
          </reference>
        </references>
      </pivotArea>
    </format>
    <format dxfId="41">
      <pivotArea collapsedLevelsAreSubtotals="1" fieldPosition="0">
        <references count="1">
          <reference field="3" count="1">
            <x v="2"/>
          </reference>
        </references>
      </pivotArea>
    </format>
    <format dxfId="40">
      <pivotArea collapsedLevelsAreSubtotals="1" fieldPosition="0">
        <references count="2">
          <reference field="3" count="1" selected="0">
            <x v="2"/>
          </reference>
          <reference field="4" count="1">
            <x v="2"/>
          </reference>
        </references>
      </pivotArea>
    </format>
    <format dxfId="39">
      <pivotArea collapsedLevelsAreSubtotals="1" fieldPosition="0">
        <references count="3">
          <reference field="3" count="1" selected="0">
            <x v="2"/>
          </reference>
          <reference field="4" count="1" selected="0">
            <x v="2"/>
          </reference>
          <reference field="7" count="1">
            <x v="4"/>
          </reference>
        </references>
      </pivotArea>
    </format>
    <format dxfId="38">
      <pivotArea collapsedLevelsAreSubtotals="1" fieldPosition="0">
        <references count="1">
          <reference field="3" count="1">
            <x v="3"/>
          </reference>
        </references>
      </pivotArea>
    </format>
    <format dxfId="37">
      <pivotArea collapsedLevelsAreSubtotals="1" fieldPosition="0">
        <references count="2">
          <reference field="3" count="1" selected="0">
            <x v="3"/>
          </reference>
          <reference field="4" count="1">
            <x v="0"/>
          </reference>
        </references>
      </pivotArea>
    </format>
    <format dxfId="36">
      <pivotArea collapsedLevelsAreSubtotals="1" fieldPosition="0">
        <references count="3">
          <reference field="3" count="1" selected="0">
            <x v="3"/>
          </reference>
          <reference field="4" count="1" selected="0">
            <x v="0"/>
          </reference>
          <reference field="7" count="1">
            <x v="1"/>
          </reference>
        </references>
      </pivotArea>
    </format>
    <format dxfId="35">
      <pivotArea collapsedLevelsAreSubtotals="1" fieldPosition="0">
        <references count="2">
          <reference field="3" count="1" selected="0">
            <x v="3"/>
          </reference>
          <reference field="4" count="1">
            <x v="1"/>
          </reference>
        </references>
      </pivotArea>
    </format>
    <format dxfId="34">
      <pivotArea collapsedLevelsAreSubtotals="1" fieldPosition="0">
        <references count="3">
          <reference field="3" count="1" selected="0">
            <x v="3"/>
          </reference>
          <reference field="4" count="1" selected="0">
            <x v="1"/>
          </reference>
          <reference field="7" count="1">
            <x v="1"/>
          </reference>
        </references>
      </pivotArea>
    </format>
    <format dxfId="33">
      <pivotArea collapsedLevelsAreSubtotals="1" fieldPosition="0">
        <references count="1">
          <reference field="3" count="1">
            <x v="6"/>
          </reference>
        </references>
      </pivotArea>
    </format>
    <format dxfId="32">
      <pivotArea collapsedLevelsAreSubtotals="1" fieldPosition="0">
        <references count="2">
          <reference field="3" count="1" selected="0">
            <x v="6"/>
          </reference>
          <reference field="4" count="1">
            <x v="3"/>
          </reference>
        </references>
      </pivotArea>
    </format>
    <format dxfId="31">
      <pivotArea grandRow="1" outline="0" collapsedLevelsAreSubtotals="1" fieldPosition="0"/>
    </format>
    <format dxfId="30">
      <pivotArea collapsedLevelsAreSubtotals="1" fieldPosition="0">
        <references count="1">
          <reference field="3" count="1">
            <x v="0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ela2" displayName="Tabela2" ref="A1:AF4" totalsRowShown="0">
  <autoFilter ref="A1:AF4"/>
  <tableColumns count="32">
    <tableColumn id="1" name="Empreendimento"/>
    <tableColumn id="2" name="Torre"/>
    <tableColumn id="3" name="Unidade"/>
    <tableColumn id="4" name="Tipo de Venda"/>
    <tableColumn id="5" name="Estilo Venda"/>
    <tableColumn id="6" name="Data da Venda" dataDxfId="88"/>
    <tableColumn id="7" name="Nome"/>
    <tableColumn id="8" name="Comissão Corretor"/>
    <tableColumn id="9" name="Premio Corretor"/>
    <tableColumn id="10" name="Gerente"/>
    <tableColumn id="11" name="Comissão Gerente"/>
    <tableColumn id="12" name="Premio Gerente"/>
    <tableColumn id="13" name="Diretor Comissão"/>
    <tableColumn id="14" name="Diretor Premio"/>
    <tableColumn id="15" name="Coord. Access"/>
    <tableColumn id="16" name="Coord. Access Comissão"/>
    <tableColumn id="17" name="Coord. Online"/>
    <tableColumn id="18" name="Comissão Coord. Online"/>
    <tableColumn id="19" name="Comissão Access"/>
    <tableColumn id="20" name="Data" dataDxfId="87"/>
    <tableColumn id="21" name="Codigo Sap"/>
    <tableColumn id="22" name="Sati"/>
    <tableColumn id="23" name="Codgo Sap"/>
    <tableColumn id="24" name="VGV"/>
    <tableColumn id="25" name="PV"/>
    <tableColumn id="26" name="Distrato"/>
    <tableColumn id="27" name="Data Distrato"/>
    <tableColumn id="28" name="Vendas"/>
    <tableColumn id="29" name="mês"/>
    <tableColumn id="30" name="Ano"/>
    <tableColumn id="31" name="Colunas1"/>
    <tableColumn id="32" name="Observações da Ven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A1:L24" totalsRowShown="0" headerRowDxfId="14" dataDxfId="13" tableBorderDxfId="12" dataCellStyle="Vírgula 2">
  <autoFilter ref="A1:L24"/>
  <tableColumns count="12">
    <tableColumn id="1" name="Empreendimento" dataDxfId="11"/>
    <tableColumn id="2" name="Torre" dataDxfId="10"/>
    <tableColumn id="3" name="Unidade" dataDxfId="9"/>
    <tableColumn id="13" name="Tipo de Venda" dataDxfId="8"/>
    <tableColumn id="14" name="Estilo Venda" dataDxfId="7"/>
    <tableColumn id="4" name="Data da Venda" dataDxfId="6"/>
    <tableColumn id="5" name="Nome" dataDxfId="5"/>
    <tableColumn id="17" name="Gerente" dataDxfId="4" dataCellStyle="Vírgula 2"/>
    <tableColumn id="9" name="VGV" dataDxfId="3" dataCellStyle="Vírgula 2"/>
    <tableColumn id="10" name="Vendas" dataDxfId="2" dataCellStyle="Vírgula 2"/>
    <tableColumn id="11" name="mês" dataDxfId="1" dataCellStyle="Vírgula 2">
      <calculatedColumnFormula>MONTH(Tabela1[[#This Row],[Data da Venda]])</calculatedColumnFormula>
    </tableColumn>
    <tableColumn id="12" name="Ano" dataDxfId="0" dataCellStyle="Vírgula 2">
      <calculatedColumnFormula>YEAR(Tabela1[[#This Row],[Data da Venda]])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printerSettings" Target="../printerSettings/printerSettings6.bin"/><Relationship Id="rId4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M139"/>
  <sheetViews>
    <sheetView workbookViewId="0">
      <selection activeCell="G5" sqref="G5:J5"/>
    </sheetView>
  </sheetViews>
  <sheetFormatPr defaultRowHeight="14.4"/>
  <cols>
    <col min="1" max="1" width="2.44140625" customWidth="1"/>
    <col min="3" max="3" width="11" customWidth="1"/>
    <col min="4" max="4" width="11.5546875" bestFit="1" customWidth="1"/>
    <col min="5" max="5" width="15.33203125" bestFit="1" customWidth="1"/>
    <col min="6" max="6" width="3.6640625" customWidth="1"/>
    <col min="8" max="8" width="19.33203125" bestFit="1" customWidth="1"/>
    <col min="9" max="9" width="12.6640625" bestFit="1" customWidth="1"/>
    <col min="10" max="10" width="14.109375" customWidth="1"/>
    <col min="12" max="12" width="12.6640625" bestFit="1" customWidth="1"/>
  </cols>
  <sheetData>
    <row r="2" spans="2:13" hidden="1"/>
    <row r="3" spans="2:13" hidden="1"/>
    <row r="4" spans="2:13">
      <c r="B4" s="212" t="s">
        <v>7</v>
      </c>
      <c r="C4" s="213"/>
      <c r="D4" s="213"/>
      <c r="E4" s="214"/>
      <c r="F4" s="7"/>
      <c r="G4" s="212" t="s">
        <v>7</v>
      </c>
      <c r="H4" s="213"/>
      <c r="I4" s="213"/>
      <c r="J4" s="214"/>
      <c r="K4" s="7"/>
    </row>
    <row r="5" spans="2:13">
      <c r="B5" s="24" t="s">
        <v>8</v>
      </c>
      <c r="C5" s="24" t="s">
        <v>2</v>
      </c>
      <c r="D5" s="24" t="s">
        <v>9</v>
      </c>
      <c r="E5" s="24" t="s">
        <v>3</v>
      </c>
      <c r="F5" s="7"/>
      <c r="G5" s="24" t="s">
        <v>8</v>
      </c>
      <c r="H5" s="24" t="s">
        <v>2</v>
      </c>
      <c r="I5" s="24" t="s">
        <v>9</v>
      </c>
      <c r="J5" s="24" t="s">
        <v>3</v>
      </c>
      <c r="K5" s="7"/>
      <c r="L5" s="7" t="s">
        <v>15</v>
      </c>
    </row>
    <row r="6" spans="2:13">
      <c r="B6" s="29">
        <v>1</v>
      </c>
      <c r="C6" s="20" t="s">
        <v>25</v>
      </c>
      <c r="D6" s="72">
        <f>'Acumulado dos Gerentes'!S3</f>
        <v>75.5</v>
      </c>
      <c r="E6" s="107">
        <f>'Acumulado dos Gerentes'!T3</f>
        <v>33655170.480000004</v>
      </c>
      <c r="F6" s="7"/>
      <c r="G6" s="65">
        <v>114</v>
      </c>
      <c r="H6" s="66" t="s">
        <v>103</v>
      </c>
      <c r="I6" s="61">
        <v>1</v>
      </c>
      <c r="J6" s="21">
        <v>254200</v>
      </c>
      <c r="K6" s="7"/>
      <c r="L6" s="6"/>
    </row>
    <row r="7" spans="2:13">
      <c r="B7" s="65">
        <v>2</v>
      </c>
      <c r="C7" s="68" t="s">
        <v>26</v>
      </c>
      <c r="D7" s="72">
        <f>'Acumulado dos Gerentes'!S4</f>
        <v>59.5</v>
      </c>
      <c r="E7" s="87">
        <f>'Acumulado dos Gerentes'!T4</f>
        <v>33395358.640000004</v>
      </c>
      <c r="F7" s="7"/>
      <c r="G7" s="65">
        <v>22</v>
      </c>
      <c r="H7" s="66" t="s">
        <v>282</v>
      </c>
      <c r="I7" s="61">
        <v>5</v>
      </c>
      <c r="J7" s="21">
        <v>2278155.8199999998</v>
      </c>
      <c r="K7" s="7"/>
      <c r="L7" s="6"/>
    </row>
    <row r="8" spans="2:13">
      <c r="B8" s="13">
        <v>3</v>
      </c>
      <c r="C8" s="20" t="s">
        <v>24</v>
      </c>
      <c r="D8" s="72">
        <f>'Acumulado dos Gerentes'!S5</f>
        <v>63.25</v>
      </c>
      <c r="E8" s="87">
        <f>'Acumulado dos Gerentes'!T5</f>
        <v>30019724.600000005</v>
      </c>
      <c r="F8" s="7"/>
      <c r="G8" s="65">
        <v>127</v>
      </c>
      <c r="H8" s="66" t="s">
        <v>161</v>
      </c>
      <c r="I8" s="61">
        <v>0.5</v>
      </c>
      <c r="J8" s="21">
        <v>177799.85</v>
      </c>
      <c r="K8" s="7"/>
      <c r="L8" s="6"/>
    </row>
    <row r="9" spans="2:13">
      <c r="B9" s="65">
        <v>4</v>
      </c>
      <c r="C9" s="20" t="s">
        <v>27</v>
      </c>
      <c r="D9" s="71">
        <f>'Acumulado dos Gerentes'!S6</f>
        <v>51.5</v>
      </c>
      <c r="E9" s="87">
        <f>'Acumulado dos Gerentes'!T6</f>
        <v>23103387.890000001</v>
      </c>
      <c r="F9" s="7"/>
      <c r="G9" s="65">
        <v>75</v>
      </c>
      <c r="H9" s="20" t="s">
        <v>18</v>
      </c>
      <c r="I9" s="41">
        <v>4</v>
      </c>
      <c r="J9" s="21">
        <v>784500.02</v>
      </c>
      <c r="K9" s="7"/>
      <c r="L9" s="6"/>
    </row>
    <row r="10" spans="2:13">
      <c r="B10" s="13">
        <v>5</v>
      </c>
      <c r="C10" s="20" t="s">
        <v>23</v>
      </c>
      <c r="D10" s="72">
        <f>'Acumulado dos Gerentes'!S7</f>
        <v>53.75</v>
      </c>
      <c r="E10" s="87">
        <f>'Acumulado dos Gerentes'!T7</f>
        <v>22370803.420000002</v>
      </c>
      <c r="F10" s="7"/>
      <c r="G10" s="65">
        <v>112</v>
      </c>
      <c r="H10" s="66" t="s">
        <v>121</v>
      </c>
      <c r="I10" s="61">
        <v>1</v>
      </c>
      <c r="J10" s="21">
        <v>320425</v>
      </c>
      <c r="K10" s="7"/>
      <c r="L10" s="6"/>
    </row>
    <row r="11" spans="2:13">
      <c r="B11" s="13">
        <v>6</v>
      </c>
      <c r="C11" s="92" t="s">
        <v>61</v>
      </c>
      <c r="D11" s="73">
        <f>'Acumulado dos Gerentes'!S8</f>
        <v>36</v>
      </c>
      <c r="E11" s="88">
        <f>'Acumulado dos Gerentes'!T8</f>
        <v>16718501.76</v>
      </c>
      <c r="F11" s="7"/>
      <c r="G11" s="65">
        <v>78</v>
      </c>
      <c r="H11" s="66" t="s">
        <v>64</v>
      </c>
      <c r="I11" s="41">
        <v>1.5</v>
      </c>
      <c r="J11" s="21">
        <v>720844.34</v>
      </c>
      <c r="K11" s="7"/>
      <c r="L11" s="6"/>
    </row>
    <row r="12" spans="2:13">
      <c r="B12" s="13">
        <v>7</v>
      </c>
      <c r="C12" s="92" t="s">
        <v>79</v>
      </c>
      <c r="D12" s="73">
        <f>'Acumulado dos Gerentes'!S9</f>
        <v>26.5</v>
      </c>
      <c r="E12" s="88">
        <f>'Acumulado dos Gerentes'!T9</f>
        <v>13069017.049999999</v>
      </c>
      <c r="F12" s="7"/>
      <c r="G12" s="65">
        <v>56</v>
      </c>
      <c r="H12" s="66" t="s">
        <v>281</v>
      </c>
      <c r="I12" s="61">
        <v>2</v>
      </c>
      <c r="J12" s="21">
        <v>1141565.43</v>
      </c>
      <c r="K12" s="7"/>
      <c r="L12" s="6"/>
    </row>
    <row r="13" spans="2:13">
      <c r="B13" s="13">
        <v>8</v>
      </c>
      <c r="C13" s="92" t="s">
        <v>32</v>
      </c>
      <c r="D13" s="73">
        <f>'Acumulado dos Gerentes'!S10</f>
        <v>13.5</v>
      </c>
      <c r="E13" s="88">
        <f>'Acumulado dos Gerentes'!T10</f>
        <v>5490159.5499999998</v>
      </c>
      <c r="F13" s="7"/>
      <c r="G13" s="65">
        <v>104</v>
      </c>
      <c r="H13" s="66" t="s">
        <v>170</v>
      </c>
      <c r="I13" s="61">
        <v>1</v>
      </c>
      <c r="J13" s="21">
        <v>381596.17</v>
      </c>
      <c r="K13" s="7"/>
      <c r="L13" s="6"/>
    </row>
    <row r="14" spans="2:13">
      <c r="B14" s="13"/>
      <c r="C14" s="11"/>
      <c r="D14" s="28"/>
      <c r="E14" s="89"/>
      <c r="F14" s="7"/>
      <c r="G14" s="65">
        <v>15</v>
      </c>
      <c r="H14" s="66" t="s">
        <v>142</v>
      </c>
      <c r="I14" s="61">
        <v>3</v>
      </c>
      <c r="J14" s="21">
        <v>2885000</v>
      </c>
      <c r="K14" s="7"/>
      <c r="L14" s="6"/>
      <c r="M14" s="7"/>
    </row>
    <row r="15" spans="2:13">
      <c r="B15" s="211" t="s">
        <v>12</v>
      </c>
      <c r="C15" s="211"/>
      <c r="D15" s="80">
        <f>SUM(D6:D13)</f>
        <v>379.5</v>
      </c>
      <c r="E15" s="30">
        <f>SUM(E6:E13)</f>
        <v>177822123.39000005</v>
      </c>
      <c r="G15" s="65">
        <v>91</v>
      </c>
      <c r="H15" s="66" t="s">
        <v>152</v>
      </c>
      <c r="I15" s="61">
        <v>1.5</v>
      </c>
      <c r="J15" s="21">
        <v>575140</v>
      </c>
      <c r="L15" s="6"/>
    </row>
    <row r="16" spans="2:13" s="7" customFormat="1" ht="15" customHeight="1">
      <c r="B16" s="22"/>
      <c r="C16" s="23"/>
      <c r="D16" s="108"/>
      <c r="E16" s="122"/>
      <c r="G16" s="65">
        <v>101</v>
      </c>
      <c r="H16" s="66" t="s">
        <v>45</v>
      </c>
      <c r="I16" s="41">
        <v>2</v>
      </c>
      <c r="J16" s="60">
        <v>425108.55</v>
      </c>
      <c r="L16" s="6"/>
    </row>
    <row r="17" spans="2:11">
      <c r="B17" s="7"/>
      <c r="C17" s="7"/>
      <c r="D17" s="50"/>
      <c r="E17" s="14"/>
      <c r="G17" s="65">
        <v>79</v>
      </c>
      <c r="H17" s="20" t="s">
        <v>179</v>
      </c>
      <c r="I17" s="67">
        <v>2</v>
      </c>
      <c r="J17" s="21">
        <v>711400</v>
      </c>
    </row>
    <row r="18" spans="2:11">
      <c r="B18" s="212" t="s">
        <v>107</v>
      </c>
      <c r="C18" s="213"/>
      <c r="D18" s="213"/>
      <c r="E18" s="214"/>
      <c r="G18" s="65">
        <v>29</v>
      </c>
      <c r="H18" s="66" t="s">
        <v>93</v>
      </c>
      <c r="I18" s="41">
        <v>5.5</v>
      </c>
      <c r="J18" s="21">
        <v>2024391.88</v>
      </c>
    </row>
    <row r="19" spans="2:11">
      <c r="B19" s="24" t="s">
        <v>8</v>
      </c>
      <c r="C19" s="24" t="s">
        <v>2</v>
      </c>
      <c r="D19" s="24" t="s">
        <v>9</v>
      </c>
      <c r="E19" s="24" t="s">
        <v>3</v>
      </c>
      <c r="G19" s="65">
        <v>58</v>
      </c>
      <c r="H19" s="20" t="s">
        <v>17</v>
      </c>
      <c r="I19" s="67">
        <v>5.5</v>
      </c>
      <c r="J19" s="21">
        <v>1114585.01</v>
      </c>
    </row>
    <row r="20" spans="2:11">
      <c r="B20" s="208" t="s">
        <v>33</v>
      </c>
      <c r="C20" s="210"/>
      <c r="D20" s="75">
        <v>69.5</v>
      </c>
      <c r="E20" s="84">
        <v>34109597.829999998</v>
      </c>
      <c r="G20" s="65">
        <v>54</v>
      </c>
      <c r="H20" s="66" t="s">
        <v>295</v>
      </c>
      <c r="I20" s="61">
        <v>3</v>
      </c>
      <c r="J20" s="21">
        <v>1262713.93</v>
      </c>
    </row>
    <row r="21" spans="2:11">
      <c r="B21" s="25">
        <v>1</v>
      </c>
      <c r="C21" s="11" t="s">
        <v>91</v>
      </c>
      <c r="D21" s="89">
        <f>'Coord. Mac e Cia'!L5</f>
        <v>34.5</v>
      </c>
      <c r="E21" s="83">
        <f>'Coord. Mac e Cia'!M5</f>
        <v>19432872.819999997</v>
      </c>
      <c r="G21" s="65">
        <v>66</v>
      </c>
      <c r="H21" s="66" t="s">
        <v>87</v>
      </c>
      <c r="I21" s="61">
        <v>2</v>
      </c>
      <c r="J21" s="21">
        <v>947455</v>
      </c>
    </row>
    <row r="22" spans="2:11">
      <c r="B22" s="25">
        <v>2</v>
      </c>
      <c r="C22" s="74" t="s">
        <v>74</v>
      </c>
      <c r="D22" s="89">
        <f>'Coord. Mac e Cia'!L3</f>
        <v>24</v>
      </c>
      <c r="E22" s="83">
        <f>'Coord. Mac e Cia'!M3</f>
        <v>11033910.34</v>
      </c>
      <c r="G22" s="65">
        <v>7</v>
      </c>
      <c r="H22" s="66" t="s">
        <v>83</v>
      </c>
      <c r="I22" s="61">
        <v>8</v>
      </c>
      <c r="J22" s="21">
        <v>4043638.34</v>
      </c>
    </row>
    <row r="23" spans="2:11" s="7" customFormat="1">
      <c r="B23" s="25">
        <v>3</v>
      </c>
      <c r="C23" s="74" t="s">
        <v>102</v>
      </c>
      <c r="D23" s="89">
        <f>'Coord. Mac e Cia'!L4</f>
        <v>11</v>
      </c>
      <c r="E23" s="83">
        <f>'Coord. Mac e Cia'!M4</f>
        <v>3642814.6700000004</v>
      </c>
      <c r="G23" s="65">
        <v>13</v>
      </c>
      <c r="H23" s="66" t="s">
        <v>94</v>
      </c>
      <c r="I23" s="41">
        <v>7.5</v>
      </c>
      <c r="J23" s="60">
        <v>3129555.79</v>
      </c>
    </row>
    <row r="24" spans="2:11">
      <c r="B24" s="211" t="s">
        <v>108</v>
      </c>
      <c r="C24" s="211"/>
      <c r="D24" s="75">
        <f>SUM(D21:D23)</f>
        <v>69.5</v>
      </c>
      <c r="E24" s="84">
        <f>SUM(E21:E23)</f>
        <v>34109597.829999998</v>
      </c>
      <c r="G24" s="65">
        <v>125</v>
      </c>
      <c r="H24" s="66" t="s">
        <v>176</v>
      </c>
      <c r="I24" s="61">
        <v>0.5</v>
      </c>
      <c r="J24" s="21">
        <v>186526.58</v>
      </c>
    </row>
    <row r="25" spans="2:11">
      <c r="G25" s="65">
        <v>73</v>
      </c>
      <c r="H25" s="66" t="s">
        <v>283</v>
      </c>
      <c r="I25" s="61">
        <v>2</v>
      </c>
      <c r="J25" s="21">
        <v>828669.23</v>
      </c>
    </row>
    <row r="26" spans="2:11">
      <c r="B26" s="212" t="s">
        <v>109</v>
      </c>
      <c r="C26" s="213"/>
      <c r="D26" s="213"/>
      <c r="E26" s="214"/>
      <c r="G26" s="65">
        <v>68</v>
      </c>
      <c r="H26" s="66" t="s">
        <v>41</v>
      </c>
      <c r="I26" s="41">
        <v>2.5</v>
      </c>
      <c r="J26" s="60">
        <v>905004.88</v>
      </c>
    </row>
    <row r="27" spans="2:11">
      <c r="B27" s="24" t="s">
        <v>8</v>
      </c>
      <c r="C27" s="24" t="s">
        <v>2</v>
      </c>
      <c r="D27" s="24" t="s">
        <v>9</v>
      </c>
      <c r="E27" s="24" t="s">
        <v>3</v>
      </c>
      <c r="G27" s="65">
        <v>117</v>
      </c>
      <c r="H27" s="66" t="s">
        <v>285</v>
      </c>
      <c r="I27" s="61">
        <v>0.5</v>
      </c>
      <c r="J27" s="21">
        <v>225312.27</v>
      </c>
    </row>
    <row r="28" spans="2:11">
      <c r="B28" s="85">
        <v>1</v>
      </c>
      <c r="C28" s="11" t="s">
        <v>35</v>
      </c>
      <c r="D28" s="73">
        <v>11</v>
      </c>
      <c r="E28" s="60">
        <v>7340325.6799999997</v>
      </c>
      <c r="G28" s="65">
        <v>74</v>
      </c>
      <c r="H28" s="66" t="s">
        <v>71</v>
      </c>
      <c r="I28" s="61">
        <v>2</v>
      </c>
      <c r="J28" s="21">
        <v>814036.31</v>
      </c>
    </row>
    <row r="29" spans="2:11" s="7" customFormat="1">
      <c r="B29" s="25">
        <v>2</v>
      </c>
      <c r="C29" s="11" t="s">
        <v>86</v>
      </c>
      <c r="D29" s="76">
        <v>2</v>
      </c>
      <c r="E29" s="60">
        <v>1202855.67</v>
      </c>
      <c r="G29" s="65">
        <v>106</v>
      </c>
      <c r="H29" s="66" t="s">
        <v>287</v>
      </c>
      <c r="I29" s="61">
        <v>1</v>
      </c>
      <c r="J29" s="21">
        <v>380283.15</v>
      </c>
    </row>
    <row r="30" spans="2:11" s="7" customFormat="1">
      <c r="B30" s="211" t="s">
        <v>108</v>
      </c>
      <c r="C30" s="211"/>
      <c r="D30" s="75">
        <f>SUM(D28:D29)</f>
        <v>13</v>
      </c>
      <c r="E30" s="30">
        <f>SUM(E28:E29)</f>
        <v>8543181.3499999996</v>
      </c>
      <c r="G30" s="65">
        <v>9</v>
      </c>
      <c r="H30" s="66" t="s">
        <v>49</v>
      </c>
      <c r="I30" s="41">
        <v>8.5</v>
      </c>
      <c r="J30" s="60">
        <v>3506321.61</v>
      </c>
    </row>
    <row r="31" spans="2:11">
      <c r="G31" s="65">
        <v>8</v>
      </c>
      <c r="H31" s="66" t="s">
        <v>70</v>
      </c>
      <c r="I31" s="61">
        <v>5</v>
      </c>
      <c r="J31" s="21">
        <v>3874092.52</v>
      </c>
      <c r="K31" s="7"/>
    </row>
    <row r="32" spans="2:11">
      <c r="G32" s="65">
        <v>97</v>
      </c>
      <c r="H32" s="66" t="s">
        <v>37</v>
      </c>
      <c r="I32" s="41">
        <v>2</v>
      </c>
      <c r="J32" s="60">
        <v>500320</v>
      </c>
      <c r="K32" s="7"/>
    </row>
    <row r="33" spans="2:10">
      <c r="B33" s="212" t="s">
        <v>110</v>
      </c>
      <c r="C33" s="213"/>
      <c r="D33" s="213"/>
      <c r="E33" s="214"/>
      <c r="G33" s="65">
        <v>51</v>
      </c>
      <c r="H33" s="66" t="s">
        <v>274</v>
      </c>
      <c r="I33" s="61">
        <v>3</v>
      </c>
      <c r="J33" s="21">
        <v>1295782.5</v>
      </c>
    </row>
    <row r="34" spans="2:10">
      <c r="B34" s="212" t="s">
        <v>9</v>
      </c>
      <c r="C34" s="214"/>
      <c r="D34" s="212" t="s">
        <v>3</v>
      </c>
      <c r="E34" s="214"/>
      <c r="G34" s="65">
        <v>93</v>
      </c>
      <c r="H34" s="66" t="s">
        <v>268</v>
      </c>
      <c r="I34" s="61">
        <v>0.25</v>
      </c>
      <c r="J34" s="21">
        <v>568250</v>
      </c>
    </row>
    <row r="35" spans="2:10">
      <c r="B35" s="215">
        <f>D30+D24+D15</f>
        <v>462</v>
      </c>
      <c r="C35" s="215"/>
      <c r="D35" s="216">
        <f>E30+E24+E15</f>
        <v>220474902.57000005</v>
      </c>
      <c r="E35" s="217"/>
      <c r="G35" s="65">
        <v>37</v>
      </c>
      <c r="H35" s="66" t="s">
        <v>65</v>
      </c>
      <c r="I35" s="41">
        <v>4.5</v>
      </c>
      <c r="J35" s="60">
        <v>1672552.99</v>
      </c>
    </row>
    <row r="36" spans="2:10">
      <c r="B36" s="215"/>
      <c r="C36" s="215"/>
      <c r="D36" s="217"/>
      <c r="E36" s="217"/>
      <c r="G36" s="65">
        <v>81</v>
      </c>
      <c r="H36" s="66" t="s">
        <v>162</v>
      </c>
      <c r="I36" s="61">
        <v>2</v>
      </c>
      <c r="J36" s="21">
        <v>676853.75</v>
      </c>
    </row>
    <row r="37" spans="2:10">
      <c r="B37" s="215"/>
      <c r="C37" s="215"/>
      <c r="D37" s="217"/>
      <c r="E37" s="217"/>
      <c r="G37" s="65">
        <v>72</v>
      </c>
      <c r="H37" s="66" t="s">
        <v>255</v>
      </c>
      <c r="I37" s="61">
        <v>2</v>
      </c>
      <c r="J37" s="21">
        <v>837740.89</v>
      </c>
    </row>
    <row r="38" spans="2:10">
      <c r="B38" s="208" t="s">
        <v>108</v>
      </c>
      <c r="C38" s="209"/>
      <c r="D38" s="209"/>
      <c r="E38" s="210"/>
      <c r="G38" s="65">
        <v>119</v>
      </c>
      <c r="H38" s="66" t="s">
        <v>224</v>
      </c>
      <c r="I38" s="61">
        <v>0.5</v>
      </c>
      <c r="J38" s="21">
        <v>224600</v>
      </c>
    </row>
    <row r="39" spans="2:10">
      <c r="G39" s="65">
        <v>60</v>
      </c>
      <c r="H39" s="66" t="s">
        <v>67</v>
      </c>
      <c r="I39" s="41">
        <v>2.5</v>
      </c>
      <c r="J39" s="21">
        <v>1050725.0900000001</v>
      </c>
    </row>
    <row r="40" spans="2:10">
      <c r="B40" s="64"/>
      <c r="C40" s="143"/>
      <c r="D40" s="7"/>
      <c r="E40" s="6"/>
      <c r="G40" s="65">
        <v>113</v>
      </c>
      <c r="H40" s="66" t="s">
        <v>129</v>
      </c>
      <c r="I40" s="61">
        <v>1</v>
      </c>
      <c r="J40" s="21">
        <v>264800</v>
      </c>
    </row>
    <row r="41" spans="2:10" s="7" customFormat="1">
      <c r="G41" s="65">
        <v>48</v>
      </c>
      <c r="H41" s="66" t="s">
        <v>47</v>
      </c>
      <c r="I41" s="41">
        <v>2</v>
      </c>
      <c r="J41" s="60">
        <v>1345039.95</v>
      </c>
    </row>
    <row r="42" spans="2:10" s="7" customFormat="1">
      <c r="G42" s="65">
        <v>12</v>
      </c>
      <c r="H42" s="66" t="s">
        <v>62</v>
      </c>
      <c r="I42" s="41">
        <v>8</v>
      </c>
      <c r="J42" s="60">
        <v>3225749.67</v>
      </c>
    </row>
    <row r="43" spans="2:10" s="7" customFormat="1">
      <c r="G43" s="65">
        <v>108</v>
      </c>
      <c r="H43" s="66" t="s">
        <v>291</v>
      </c>
      <c r="I43" s="61">
        <v>1</v>
      </c>
      <c r="J43" s="21">
        <v>375702</v>
      </c>
    </row>
    <row r="44" spans="2:10" s="7" customFormat="1">
      <c r="G44" s="65">
        <v>33</v>
      </c>
      <c r="H44" s="66" t="s">
        <v>105</v>
      </c>
      <c r="I44" s="61">
        <v>3</v>
      </c>
      <c r="J44" s="21">
        <v>1796479.45</v>
      </c>
    </row>
    <row r="45" spans="2:10" s="7" customFormat="1">
      <c r="G45" s="65">
        <v>3</v>
      </c>
      <c r="H45" s="20" t="s">
        <v>98</v>
      </c>
      <c r="I45" s="67">
        <v>8.5</v>
      </c>
      <c r="J45" s="21">
        <v>5436703.1200000001</v>
      </c>
    </row>
    <row r="46" spans="2:10" s="7" customFormat="1">
      <c r="G46" s="65">
        <v>96</v>
      </c>
      <c r="H46" s="66" t="s">
        <v>276</v>
      </c>
      <c r="I46" s="61">
        <v>1</v>
      </c>
      <c r="J46" s="21">
        <v>530824.75</v>
      </c>
    </row>
    <row r="47" spans="2:10" s="7" customFormat="1">
      <c r="G47" s="65">
        <v>26</v>
      </c>
      <c r="H47" s="66" t="s">
        <v>80</v>
      </c>
      <c r="I47" s="61">
        <v>5.5</v>
      </c>
      <c r="J47" s="21">
        <v>2143132.5099999998</v>
      </c>
    </row>
    <row r="48" spans="2:10" s="7" customFormat="1">
      <c r="G48" s="65">
        <v>90</v>
      </c>
      <c r="H48" s="66" t="s">
        <v>39</v>
      </c>
      <c r="I48" s="41">
        <v>2</v>
      </c>
      <c r="J48" s="60">
        <v>586647.99</v>
      </c>
    </row>
    <row r="49" spans="7:10" s="7" customFormat="1">
      <c r="G49" s="65">
        <v>2</v>
      </c>
      <c r="H49" s="66" t="s">
        <v>40</v>
      </c>
      <c r="I49" s="41">
        <v>7</v>
      </c>
      <c r="J49" s="60">
        <v>5586000</v>
      </c>
    </row>
    <row r="50" spans="7:10" s="7" customFormat="1">
      <c r="G50" s="65">
        <v>105</v>
      </c>
      <c r="H50" s="66" t="s">
        <v>168</v>
      </c>
      <c r="I50" s="61">
        <v>1</v>
      </c>
      <c r="J50" s="21">
        <v>381596.17</v>
      </c>
    </row>
    <row r="51" spans="7:10" s="7" customFormat="1">
      <c r="G51" s="65">
        <v>128</v>
      </c>
      <c r="H51" s="66" t="s">
        <v>314</v>
      </c>
      <c r="I51" s="61">
        <v>0.5</v>
      </c>
      <c r="J51" s="21">
        <v>145000</v>
      </c>
    </row>
    <row r="52" spans="7:10" s="7" customFormat="1">
      <c r="G52" s="65">
        <v>64</v>
      </c>
      <c r="H52" s="66" t="s">
        <v>292</v>
      </c>
      <c r="I52" s="61">
        <v>3.5</v>
      </c>
      <c r="J52" s="21">
        <v>967703.24</v>
      </c>
    </row>
    <row r="53" spans="7:10" s="7" customFormat="1">
      <c r="G53" s="65">
        <v>16</v>
      </c>
      <c r="H53" s="66" t="s">
        <v>59</v>
      </c>
      <c r="I53" s="41">
        <v>4</v>
      </c>
      <c r="J53" s="60">
        <v>2827844.4</v>
      </c>
    </row>
    <row r="54" spans="7:10" s="7" customFormat="1">
      <c r="G54" s="65">
        <v>30</v>
      </c>
      <c r="H54" s="66" t="s">
        <v>75</v>
      </c>
      <c r="I54" s="61">
        <v>4</v>
      </c>
      <c r="J54" s="21">
        <v>1963031.77</v>
      </c>
    </row>
    <row r="55" spans="7:10" s="7" customFormat="1">
      <c r="G55" s="65">
        <v>47</v>
      </c>
      <c r="H55" s="68" t="s">
        <v>100</v>
      </c>
      <c r="I55" s="41">
        <v>3</v>
      </c>
      <c r="J55" s="21">
        <v>1400074.49</v>
      </c>
    </row>
    <row r="56" spans="7:10" s="7" customFormat="1">
      <c r="G56" s="65">
        <v>98</v>
      </c>
      <c r="H56" s="20" t="s">
        <v>21</v>
      </c>
      <c r="I56" s="41">
        <v>0.5</v>
      </c>
      <c r="J56" s="21">
        <v>453000.06</v>
      </c>
    </row>
    <row r="57" spans="7:10" s="7" customFormat="1">
      <c r="G57" s="65">
        <v>84</v>
      </c>
      <c r="H57" s="66" t="s">
        <v>36</v>
      </c>
      <c r="I57" s="41">
        <v>1</v>
      </c>
      <c r="J57" s="60">
        <v>641050</v>
      </c>
    </row>
    <row r="58" spans="7:10" s="7" customFormat="1">
      <c r="G58" s="65">
        <v>14</v>
      </c>
      <c r="H58" s="66" t="s">
        <v>76</v>
      </c>
      <c r="I58" s="61">
        <v>6.5</v>
      </c>
      <c r="J58" s="21">
        <v>2966189.34</v>
      </c>
    </row>
    <row r="59" spans="7:10" s="7" customFormat="1">
      <c r="G59" s="65">
        <v>88</v>
      </c>
      <c r="H59" s="66" t="s">
        <v>46</v>
      </c>
      <c r="I59" s="41">
        <v>1</v>
      </c>
      <c r="J59" s="60">
        <v>595091.1</v>
      </c>
    </row>
    <row r="60" spans="7:10" s="7" customFormat="1">
      <c r="G60" s="65">
        <v>89</v>
      </c>
      <c r="H60" s="66" t="s">
        <v>148</v>
      </c>
      <c r="I60" s="61">
        <v>1.5</v>
      </c>
      <c r="J60" s="21">
        <v>590087.56999999995</v>
      </c>
    </row>
    <row r="61" spans="7:10" s="7" customFormat="1">
      <c r="G61" s="65">
        <v>63</v>
      </c>
      <c r="H61" s="66" t="s">
        <v>153</v>
      </c>
      <c r="I61" s="61">
        <v>2.5</v>
      </c>
      <c r="J61" s="21">
        <v>1008415.32</v>
      </c>
    </row>
    <row r="62" spans="7:10" s="7" customFormat="1">
      <c r="G62" s="65">
        <v>87</v>
      </c>
      <c r="H62" s="66" t="s">
        <v>31</v>
      </c>
      <c r="I62" s="41">
        <v>3</v>
      </c>
      <c r="J62" s="60">
        <v>628960.82999999996</v>
      </c>
    </row>
    <row r="63" spans="7:10" s="7" customFormat="1">
      <c r="G63" s="65">
        <v>35</v>
      </c>
      <c r="H63" s="66" t="s">
        <v>77</v>
      </c>
      <c r="I63" s="61">
        <v>3.5</v>
      </c>
      <c r="J63" s="21">
        <v>1750593.77</v>
      </c>
    </row>
    <row r="64" spans="7:10" s="7" customFormat="1">
      <c r="G64" s="65">
        <v>121</v>
      </c>
      <c r="H64" s="20" t="s">
        <v>69</v>
      </c>
      <c r="I64" s="41">
        <v>0.5</v>
      </c>
      <c r="J64" s="21">
        <v>214848.07</v>
      </c>
    </row>
    <row r="65" spans="2:10" s="7" customFormat="1">
      <c r="G65" s="65">
        <v>100</v>
      </c>
      <c r="H65" s="66" t="s">
        <v>68</v>
      </c>
      <c r="I65" s="41">
        <v>1</v>
      </c>
      <c r="J65" s="21">
        <v>429696.14</v>
      </c>
    </row>
    <row r="66" spans="2:10" s="7" customFormat="1">
      <c r="G66" s="65">
        <v>25</v>
      </c>
      <c r="H66" s="66" t="s">
        <v>55</v>
      </c>
      <c r="I66" s="41">
        <v>4.5</v>
      </c>
      <c r="J66" s="60">
        <v>2181107.27</v>
      </c>
    </row>
    <row r="67" spans="2:10" s="7" customFormat="1">
      <c r="B67"/>
      <c r="C67"/>
      <c r="D67"/>
      <c r="E67"/>
      <c r="G67" s="65">
        <v>61</v>
      </c>
      <c r="H67" s="66" t="s">
        <v>266</v>
      </c>
      <c r="I67" s="61">
        <v>2</v>
      </c>
      <c r="J67" s="21">
        <f>517661+507180</f>
        <v>1024841</v>
      </c>
    </row>
    <row r="68" spans="2:10">
      <c r="G68" s="65">
        <v>86</v>
      </c>
      <c r="H68" s="66" t="s">
        <v>304</v>
      </c>
      <c r="I68" s="61">
        <v>1</v>
      </c>
      <c r="J68" s="21">
        <v>633914.91</v>
      </c>
    </row>
    <row r="69" spans="2:10">
      <c r="G69" s="65">
        <v>122</v>
      </c>
      <c r="H69" s="66" t="s">
        <v>180</v>
      </c>
      <c r="I69" s="61">
        <v>0.5</v>
      </c>
      <c r="J69" s="21">
        <v>204200</v>
      </c>
    </row>
    <row r="70" spans="2:10">
      <c r="G70" s="65">
        <v>42</v>
      </c>
      <c r="H70" s="66" t="s">
        <v>302</v>
      </c>
      <c r="I70" s="61">
        <v>4</v>
      </c>
      <c r="J70" s="21">
        <v>1480897.48</v>
      </c>
    </row>
    <row r="71" spans="2:10">
      <c r="G71" s="65">
        <v>99</v>
      </c>
      <c r="H71" s="66" t="s">
        <v>306</v>
      </c>
      <c r="I71" s="41">
        <v>1</v>
      </c>
      <c r="J71" s="60">
        <v>448707.54</v>
      </c>
    </row>
    <row r="72" spans="2:10">
      <c r="B72" s="7"/>
      <c r="C72" s="7"/>
      <c r="D72" s="7"/>
      <c r="E72" s="7"/>
      <c r="G72" s="65">
        <v>83</v>
      </c>
      <c r="H72" s="66" t="s">
        <v>297</v>
      </c>
      <c r="I72" s="61">
        <v>1</v>
      </c>
      <c r="J72" s="21">
        <v>646529.66</v>
      </c>
    </row>
    <row r="73" spans="2:10" s="7" customFormat="1">
      <c r="G73" s="65">
        <v>95</v>
      </c>
      <c r="H73" s="66" t="s">
        <v>159</v>
      </c>
      <c r="I73" s="61">
        <v>1.5</v>
      </c>
      <c r="J73" s="21">
        <v>550102.77</v>
      </c>
    </row>
    <row r="74" spans="2:10" s="7" customFormat="1">
      <c r="G74" s="65">
        <v>10</v>
      </c>
      <c r="H74" s="66" t="s">
        <v>38</v>
      </c>
      <c r="I74" s="41">
        <v>7.5</v>
      </c>
      <c r="J74" s="60">
        <v>3420412.5</v>
      </c>
    </row>
    <row r="75" spans="2:10" s="7" customFormat="1">
      <c r="B75"/>
      <c r="C75"/>
      <c r="D75"/>
      <c r="E75"/>
      <c r="G75" s="65">
        <v>82</v>
      </c>
      <c r="H75" s="66" t="s">
        <v>154</v>
      </c>
      <c r="I75" s="61">
        <v>2</v>
      </c>
      <c r="J75" s="21">
        <v>659200</v>
      </c>
    </row>
    <row r="76" spans="2:10">
      <c r="G76" s="65">
        <v>31</v>
      </c>
      <c r="H76" s="66" t="s">
        <v>155</v>
      </c>
      <c r="I76" s="61">
        <v>4</v>
      </c>
      <c r="J76" s="21">
        <v>1934106.85</v>
      </c>
    </row>
    <row r="77" spans="2:10" s="7" customFormat="1">
      <c r="G77" s="65">
        <v>123</v>
      </c>
      <c r="H77" s="66" t="s">
        <v>169</v>
      </c>
      <c r="I77" s="61">
        <v>0.5</v>
      </c>
      <c r="J77" s="21">
        <v>199987.05</v>
      </c>
    </row>
    <row r="78" spans="2:10" s="7" customFormat="1">
      <c r="G78" s="65">
        <v>32</v>
      </c>
      <c r="H78" s="66" t="s">
        <v>78</v>
      </c>
      <c r="I78" s="61">
        <v>3</v>
      </c>
      <c r="J78" s="21">
        <v>1848218.86</v>
      </c>
    </row>
    <row r="79" spans="2:10">
      <c r="G79" s="65">
        <v>80</v>
      </c>
      <c r="H79" s="66" t="s">
        <v>104</v>
      </c>
      <c r="I79" s="61">
        <v>1.75</v>
      </c>
      <c r="J79" s="21">
        <v>705538.07</v>
      </c>
    </row>
    <row r="80" spans="2:10">
      <c r="G80" s="65">
        <v>18</v>
      </c>
      <c r="H80" s="66" t="s">
        <v>66</v>
      </c>
      <c r="I80" s="41">
        <v>6</v>
      </c>
      <c r="J80" s="21">
        <v>2696140.07</v>
      </c>
    </row>
    <row r="81" spans="7:10">
      <c r="G81" s="65">
        <v>85</v>
      </c>
      <c r="H81" s="66" t="s">
        <v>279</v>
      </c>
      <c r="I81" s="61">
        <v>1</v>
      </c>
      <c r="J81" s="21">
        <v>638796</v>
      </c>
    </row>
    <row r="82" spans="7:10">
      <c r="G82" s="65">
        <v>43</v>
      </c>
      <c r="H82" s="66" t="s">
        <v>42</v>
      </c>
      <c r="I82" s="41">
        <v>4</v>
      </c>
      <c r="J82" s="60">
        <v>1452429.33</v>
      </c>
    </row>
    <row r="83" spans="7:10">
      <c r="G83" s="65">
        <v>11</v>
      </c>
      <c r="H83" s="66" t="s">
        <v>173</v>
      </c>
      <c r="I83" s="61">
        <v>1.5</v>
      </c>
      <c r="J83" s="21">
        <v>3350000</v>
      </c>
    </row>
    <row r="84" spans="7:10">
      <c r="G84" s="65">
        <v>53</v>
      </c>
      <c r="H84" s="66" t="s">
        <v>141</v>
      </c>
      <c r="I84" s="61">
        <v>4</v>
      </c>
      <c r="J84" s="21">
        <v>1271698.74</v>
      </c>
    </row>
    <row r="85" spans="7:10">
      <c r="G85" s="65">
        <v>23</v>
      </c>
      <c r="H85" s="66" t="s">
        <v>48</v>
      </c>
      <c r="I85" s="41">
        <v>5.5</v>
      </c>
      <c r="J85" s="60">
        <v>2216564.15</v>
      </c>
    </row>
    <row r="86" spans="7:10">
      <c r="G86" s="65">
        <v>116</v>
      </c>
      <c r="H86" s="66" t="s">
        <v>149</v>
      </c>
      <c r="I86" s="61">
        <v>0.5</v>
      </c>
      <c r="J86" s="21">
        <v>233500.33</v>
      </c>
    </row>
    <row r="87" spans="7:10">
      <c r="G87" s="65">
        <v>1</v>
      </c>
      <c r="H87" s="66" t="s">
        <v>92</v>
      </c>
      <c r="I87" s="61">
        <v>16.5</v>
      </c>
      <c r="J87" s="21">
        <v>7731808.3099999996</v>
      </c>
    </row>
    <row r="88" spans="7:10">
      <c r="G88" s="65">
        <v>107</v>
      </c>
      <c r="H88" s="66" t="s">
        <v>289</v>
      </c>
      <c r="I88" s="61">
        <v>1</v>
      </c>
      <c r="J88" s="21">
        <v>380283.14</v>
      </c>
    </row>
    <row r="89" spans="7:10">
      <c r="G89" s="65">
        <v>39</v>
      </c>
      <c r="H89" s="66" t="s">
        <v>56</v>
      </c>
      <c r="I89" s="41">
        <v>2.5</v>
      </c>
      <c r="J89" s="60">
        <v>1634290</v>
      </c>
    </row>
    <row r="90" spans="7:10">
      <c r="G90" s="65">
        <v>20</v>
      </c>
      <c r="H90" s="20" t="s">
        <v>19</v>
      </c>
      <c r="I90" s="41">
        <v>9</v>
      </c>
      <c r="J90" s="21">
        <v>2389024.15</v>
      </c>
    </row>
    <row r="91" spans="7:10">
      <c r="G91" s="65">
        <v>49</v>
      </c>
      <c r="H91" s="66" t="s">
        <v>51</v>
      </c>
      <c r="I91" s="41">
        <v>2</v>
      </c>
      <c r="J91" s="60">
        <v>1342533</v>
      </c>
    </row>
    <row r="92" spans="7:10">
      <c r="G92" s="65">
        <v>94</v>
      </c>
      <c r="H92" s="66" t="s">
        <v>267</v>
      </c>
      <c r="I92" s="61">
        <v>0.25</v>
      </c>
      <c r="J92" s="21">
        <v>568250</v>
      </c>
    </row>
    <row r="93" spans="7:10">
      <c r="G93" s="65">
        <v>52</v>
      </c>
      <c r="H93" s="66" t="s">
        <v>147</v>
      </c>
      <c r="I93" s="61">
        <v>3</v>
      </c>
      <c r="J93" s="21">
        <v>1290649.52</v>
      </c>
    </row>
    <row r="94" spans="7:10">
      <c r="G94" s="65">
        <v>70</v>
      </c>
      <c r="H94" s="66" t="s">
        <v>277</v>
      </c>
      <c r="I94" s="61">
        <v>2</v>
      </c>
      <c r="J94" s="21">
        <v>864871.79</v>
      </c>
    </row>
    <row r="95" spans="7:10">
      <c r="G95" s="65">
        <v>4</v>
      </c>
      <c r="H95" s="66" t="s">
        <v>256</v>
      </c>
      <c r="I95" s="41">
        <v>8</v>
      </c>
      <c r="J95" s="21">
        <v>4965269.28</v>
      </c>
    </row>
    <row r="96" spans="7:10">
      <c r="G96" s="65">
        <v>76</v>
      </c>
      <c r="H96" s="20" t="s">
        <v>16</v>
      </c>
      <c r="I96" s="67">
        <v>3</v>
      </c>
      <c r="J96" s="21">
        <v>722123</v>
      </c>
    </row>
    <row r="97" spans="7:10">
      <c r="G97" s="65">
        <v>34</v>
      </c>
      <c r="H97" s="66" t="s">
        <v>43</v>
      </c>
      <c r="I97" s="41">
        <v>5</v>
      </c>
      <c r="J97" s="60">
        <v>1776003.03</v>
      </c>
    </row>
    <row r="98" spans="7:10">
      <c r="G98" s="65">
        <v>110</v>
      </c>
      <c r="H98" s="66" t="s">
        <v>253</v>
      </c>
      <c r="I98" s="61">
        <v>1</v>
      </c>
      <c r="J98" s="21">
        <v>333514.5</v>
      </c>
    </row>
    <row r="99" spans="7:10">
      <c r="G99" s="65">
        <v>69</v>
      </c>
      <c r="H99" s="66" t="s">
        <v>60</v>
      </c>
      <c r="I99" s="41">
        <v>2</v>
      </c>
      <c r="J99" s="60">
        <v>875115.96</v>
      </c>
    </row>
    <row r="100" spans="7:10">
      <c r="G100" s="65">
        <v>5</v>
      </c>
      <c r="H100" s="20" t="s">
        <v>22</v>
      </c>
      <c r="I100" s="61">
        <v>10.25</v>
      </c>
      <c r="J100" s="21">
        <v>4633052.51</v>
      </c>
    </row>
    <row r="101" spans="7:10">
      <c r="G101" s="65">
        <v>111</v>
      </c>
      <c r="H101" s="66" t="s">
        <v>305</v>
      </c>
      <c r="I101" s="61">
        <v>1</v>
      </c>
      <c r="J101" s="21">
        <v>331050</v>
      </c>
    </row>
    <row r="102" spans="7:10">
      <c r="G102" s="65">
        <v>19</v>
      </c>
      <c r="H102" s="66" t="s">
        <v>63</v>
      </c>
      <c r="I102" s="41">
        <v>5</v>
      </c>
      <c r="J102" s="21">
        <v>2500901.66</v>
      </c>
    </row>
    <row r="103" spans="7:10">
      <c r="G103" s="65">
        <v>103</v>
      </c>
      <c r="H103" s="66" t="s">
        <v>275</v>
      </c>
      <c r="I103" s="61">
        <v>1</v>
      </c>
      <c r="J103" s="21">
        <v>384015</v>
      </c>
    </row>
    <row r="104" spans="7:10">
      <c r="G104" s="65">
        <v>71</v>
      </c>
      <c r="H104" s="66" t="s">
        <v>151</v>
      </c>
      <c r="I104" s="61">
        <v>2</v>
      </c>
      <c r="J104" s="21">
        <v>847000</v>
      </c>
    </row>
    <row r="105" spans="7:10">
      <c r="G105" s="65">
        <v>124</v>
      </c>
      <c r="H105" s="66" t="s">
        <v>73</v>
      </c>
      <c r="I105" s="61">
        <v>0.5</v>
      </c>
      <c r="J105" s="21">
        <v>193680</v>
      </c>
    </row>
    <row r="106" spans="7:10">
      <c r="G106" s="65">
        <v>57</v>
      </c>
      <c r="H106" s="66" t="s">
        <v>172</v>
      </c>
      <c r="I106" s="61">
        <v>3</v>
      </c>
      <c r="J106" s="21">
        <v>1132651.56</v>
      </c>
    </row>
    <row r="107" spans="7:10">
      <c r="G107" s="65">
        <v>36</v>
      </c>
      <c r="H107" s="66" t="s">
        <v>101</v>
      </c>
      <c r="I107" s="61">
        <v>3.5</v>
      </c>
      <c r="J107" s="21">
        <v>1694409.53</v>
      </c>
    </row>
    <row r="108" spans="7:10">
      <c r="G108" s="65">
        <v>17</v>
      </c>
      <c r="H108" s="66" t="s">
        <v>140</v>
      </c>
      <c r="I108" s="41">
        <v>6.5</v>
      </c>
      <c r="J108" s="60">
        <v>2804773.06</v>
      </c>
    </row>
    <row r="109" spans="7:10">
      <c r="G109" s="65">
        <v>55</v>
      </c>
      <c r="H109" s="66" t="s">
        <v>99</v>
      </c>
      <c r="I109" s="61">
        <v>3</v>
      </c>
      <c r="J109" s="21">
        <v>1172717.96</v>
      </c>
    </row>
    <row r="110" spans="7:10">
      <c r="G110" s="65">
        <v>65</v>
      </c>
      <c r="H110" s="66" t="s">
        <v>198</v>
      </c>
      <c r="I110" s="61">
        <v>2.5</v>
      </c>
      <c r="J110" s="21">
        <v>949092.29</v>
      </c>
    </row>
    <row r="111" spans="7:10">
      <c r="G111" s="65">
        <v>126</v>
      </c>
      <c r="H111" s="66" t="s">
        <v>177</v>
      </c>
      <c r="I111" s="61">
        <v>0.5</v>
      </c>
      <c r="J111" s="21">
        <v>186526.58</v>
      </c>
    </row>
    <row r="112" spans="7:10" s="7" customFormat="1">
      <c r="G112" s="65">
        <v>92</v>
      </c>
      <c r="H112" s="66" t="s">
        <v>160</v>
      </c>
      <c r="I112" s="61">
        <v>1.5</v>
      </c>
      <c r="J112" s="21">
        <v>571206.78</v>
      </c>
    </row>
    <row r="113" spans="7:10" s="7" customFormat="1">
      <c r="G113" s="65">
        <v>67</v>
      </c>
      <c r="H113" s="66" t="s">
        <v>50</v>
      </c>
      <c r="I113" s="41">
        <v>3</v>
      </c>
      <c r="J113" s="60">
        <v>916363.49</v>
      </c>
    </row>
    <row r="114" spans="7:10" s="7" customFormat="1">
      <c r="G114" s="65">
        <v>38</v>
      </c>
      <c r="H114" s="66" t="s">
        <v>290</v>
      </c>
      <c r="I114" s="61">
        <v>3.5</v>
      </c>
      <c r="J114" s="21">
        <v>1664863.15</v>
      </c>
    </row>
    <row r="115" spans="7:10" s="7" customFormat="1">
      <c r="G115" s="65">
        <v>109</v>
      </c>
      <c r="H115" s="66" t="s">
        <v>174</v>
      </c>
      <c r="I115" s="61">
        <v>1</v>
      </c>
      <c r="J115" s="21">
        <v>335423.21000000002</v>
      </c>
    </row>
    <row r="116" spans="7:10">
      <c r="G116" s="65">
        <v>50</v>
      </c>
      <c r="H116" s="66" t="s">
        <v>178</v>
      </c>
      <c r="I116" s="61">
        <v>3</v>
      </c>
      <c r="J116" s="21">
        <v>1307572.6000000001</v>
      </c>
    </row>
    <row r="117" spans="7:10" s="7" customFormat="1">
      <c r="G117" s="65">
        <v>46</v>
      </c>
      <c r="H117" s="66" t="s">
        <v>158</v>
      </c>
      <c r="I117" s="61">
        <v>3.5</v>
      </c>
      <c r="J117" s="21">
        <v>1403504.62</v>
      </c>
    </row>
    <row r="118" spans="7:10" s="7" customFormat="1">
      <c r="G118" s="65">
        <v>118</v>
      </c>
      <c r="H118" s="66" t="s">
        <v>286</v>
      </c>
      <c r="I118" s="61">
        <v>0.5</v>
      </c>
      <c r="J118" s="21">
        <v>225312.27</v>
      </c>
    </row>
    <row r="119" spans="7:10" s="7" customFormat="1">
      <c r="G119" s="65">
        <v>62</v>
      </c>
      <c r="H119" s="66" t="s">
        <v>95</v>
      </c>
      <c r="I119" s="61">
        <v>2.5</v>
      </c>
      <c r="J119" s="21">
        <v>1023795.03</v>
      </c>
    </row>
    <row r="120" spans="7:10" s="7" customFormat="1">
      <c r="G120" s="65">
        <v>44</v>
      </c>
      <c r="H120" s="63" t="s">
        <v>96</v>
      </c>
      <c r="I120" s="61">
        <v>3</v>
      </c>
      <c r="J120" s="21">
        <v>1438921</v>
      </c>
    </row>
    <row r="121" spans="7:10" s="7" customFormat="1">
      <c r="G121" s="65">
        <v>24</v>
      </c>
      <c r="H121" s="66" t="s">
        <v>97</v>
      </c>
      <c r="I121" s="41">
        <v>5.5</v>
      </c>
      <c r="J121" s="60">
        <v>2197693.69</v>
      </c>
    </row>
    <row r="122" spans="7:10" s="7" customFormat="1">
      <c r="G122" s="65">
        <v>102</v>
      </c>
      <c r="H122" s="66" t="s">
        <v>106</v>
      </c>
      <c r="I122" s="61">
        <v>2</v>
      </c>
      <c r="J122" s="21">
        <v>415500</v>
      </c>
    </row>
    <row r="123" spans="7:10" s="7" customFormat="1">
      <c r="G123" s="65">
        <v>28</v>
      </c>
      <c r="H123" s="17" t="s">
        <v>20</v>
      </c>
      <c r="I123" s="69">
        <v>4</v>
      </c>
      <c r="J123" s="60">
        <v>2057510</v>
      </c>
    </row>
    <row r="124" spans="7:10" s="7" customFormat="1">
      <c r="G124" s="65">
        <v>115</v>
      </c>
      <c r="H124" s="66" t="s">
        <v>262</v>
      </c>
      <c r="I124" s="61">
        <v>1</v>
      </c>
      <c r="J124" s="21">
        <v>241840</v>
      </c>
    </row>
    <row r="125" spans="7:10" s="7" customFormat="1">
      <c r="G125" s="65">
        <v>40</v>
      </c>
      <c r="H125" s="66" t="s">
        <v>72</v>
      </c>
      <c r="I125" s="61">
        <v>3</v>
      </c>
      <c r="J125" s="21">
        <v>1612800</v>
      </c>
    </row>
    <row r="126" spans="7:10" s="7" customFormat="1">
      <c r="G126" s="65">
        <v>27</v>
      </c>
      <c r="H126" s="66" t="s">
        <v>44</v>
      </c>
      <c r="I126" s="41">
        <v>5</v>
      </c>
      <c r="J126" s="60">
        <v>2113474.41</v>
      </c>
    </row>
    <row r="127" spans="7:10" s="7" customFormat="1">
      <c r="G127" s="65">
        <v>41</v>
      </c>
      <c r="H127" s="66" t="s">
        <v>150</v>
      </c>
      <c r="I127" s="61">
        <v>4</v>
      </c>
      <c r="J127" s="21">
        <v>1557110.5</v>
      </c>
    </row>
    <row r="128" spans="7:10" s="7" customFormat="1">
      <c r="G128" s="65">
        <v>59</v>
      </c>
      <c r="H128" s="66" t="s">
        <v>128</v>
      </c>
      <c r="I128" s="61">
        <v>0.5</v>
      </c>
      <c r="J128" s="21">
        <v>1080000</v>
      </c>
    </row>
    <row r="129" spans="7:10" s="7" customFormat="1">
      <c r="G129" s="65">
        <v>21</v>
      </c>
      <c r="H129" s="20" t="s">
        <v>34</v>
      </c>
      <c r="I129" s="41">
        <v>4</v>
      </c>
      <c r="J129" s="21">
        <v>2333865.66</v>
      </c>
    </row>
    <row r="130" spans="7:10" s="7" customFormat="1">
      <c r="G130" s="65">
        <v>6</v>
      </c>
      <c r="H130" s="66" t="s">
        <v>52</v>
      </c>
      <c r="I130" s="41">
        <v>2</v>
      </c>
      <c r="J130" s="60">
        <v>4490000</v>
      </c>
    </row>
    <row r="131" spans="7:10" s="7" customFormat="1">
      <c r="G131" s="65">
        <v>120</v>
      </c>
      <c r="H131" s="66" t="s">
        <v>298</v>
      </c>
      <c r="I131" s="61">
        <v>0.5</v>
      </c>
      <c r="J131" s="21">
        <v>222914.63</v>
      </c>
    </row>
    <row r="132" spans="7:10" s="7" customFormat="1">
      <c r="G132" s="65">
        <v>45</v>
      </c>
      <c r="H132" s="66" t="s">
        <v>84</v>
      </c>
      <c r="I132" s="61">
        <v>3</v>
      </c>
      <c r="J132" s="21">
        <v>1410995.32</v>
      </c>
    </row>
    <row r="133" spans="7:10">
      <c r="G133" s="65">
        <v>77</v>
      </c>
      <c r="H133" s="66" t="s">
        <v>163</v>
      </c>
      <c r="I133" s="61">
        <v>2</v>
      </c>
      <c r="J133" s="21">
        <v>721550</v>
      </c>
    </row>
    <row r="134" spans="7:10">
      <c r="G134" s="29"/>
      <c r="H134" s="20"/>
      <c r="I134" s="26"/>
      <c r="J134" s="21"/>
    </row>
    <row r="135" spans="7:10">
      <c r="G135" s="37" t="s">
        <v>12</v>
      </c>
      <c r="H135" s="37"/>
      <c r="I135" s="80">
        <f>SUM(I6:I134)</f>
        <v>379.5</v>
      </c>
      <c r="J135" s="31">
        <f>SUM(J6:J134)</f>
        <v>177822123.37999997</v>
      </c>
    </row>
    <row r="136" spans="7:10">
      <c r="I136" s="50"/>
      <c r="J136" s="6"/>
    </row>
    <row r="137" spans="7:10">
      <c r="H137" s="35"/>
      <c r="I137" s="6"/>
      <c r="J137" s="6"/>
    </row>
    <row r="138" spans="7:10">
      <c r="J138" s="6"/>
    </row>
    <row r="139" spans="7:10">
      <c r="J139" s="6"/>
    </row>
  </sheetData>
  <autoFilter ref="G5:J5">
    <sortState ref="G6:J133">
      <sortCondition ref="H5"/>
    </sortState>
  </autoFilter>
  <sortState ref="G6:J34">
    <sortCondition descending="1" ref="G5"/>
  </sortState>
  <mergeCells count="14">
    <mergeCell ref="B4:E4"/>
    <mergeCell ref="G4:J4"/>
    <mergeCell ref="B15:C15"/>
    <mergeCell ref="B18:E18"/>
    <mergeCell ref="B26:E26"/>
    <mergeCell ref="B20:C20"/>
    <mergeCell ref="B38:E38"/>
    <mergeCell ref="B30:C30"/>
    <mergeCell ref="B24:C24"/>
    <mergeCell ref="B33:E33"/>
    <mergeCell ref="B34:C34"/>
    <mergeCell ref="D34:E34"/>
    <mergeCell ref="B35:C37"/>
    <mergeCell ref="D35:E37"/>
  </mergeCells>
  <pageMargins left="0.51181102362204722" right="0.51181102362204722" top="0.78740157480314965" bottom="0.78740157480314965" header="0.31496062992125984" footer="0.31496062992125984"/>
  <pageSetup paperSize="9" scale="9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1"/>
  <sheetViews>
    <sheetView topLeftCell="A149" workbookViewId="0">
      <selection activeCell="A3" sqref="A3:B189"/>
    </sheetView>
  </sheetViews>
  <sheetFormatPr defaultRowHeight="14.4"/>
  <cols>
    <col min="1" max="1" width="19.33203125" bestFit="1" customWidth="1"/>
    <col min="2" max="2" width="25.88671875" bestFit="1" customWidth="1"/>
  </cols>
  <sheetData>
    <row r="3" spans="1:1">
      <c r="A3" s="157" t="s">
        <v>415</v>
      </c>
    </row>
    <row r="4" spans="1:1">
      <c r="A4" s="160" t="s">
        <v>283</v>
      </c>
    </row>
    <row r="5" spans="1:1">
      <c r="A5" s="160" t="s">
        <v>307</v>
      </c>
    </row>
    <row r="6" spans="1:1">
      <c r="A6" s="160" t="s">
        <v>148</v>
      </c>
    </row>
    <row r="7" spans="1:1">
      <c r="A7" s="160" t="s">
        <v>370</v>
      </c>
    </row>
    <row r="8" spans="1:1">
      <c r="A8" s="160" t="s">
        <v>372</v>
      </c>
    </row>
    <row r="9" spans="1:1">
      <c r="A9" s="160" t="s">
        <v>371</v>
      </c>
    </row>
    <row r="10" spans="1:1">
      <c r="A10" s="160" t="s">
        <v>351</v>
      </c>
    </row>
    <row r="11" spans="1:1">
      <c r="A11" s="160" t="s">
        <v>56</v>
      </c>
    </row>
    <row r="12" spans="1:1">
      <c r="A12" s="160" t="s">
        <v>19</v>
      </c>
    </row>
    <row r="13" spans="1:1">
      <c r="A13" s="160" t="s">
        <v>277</v>
      </c>
    </row>
    <row r="14" spans="1:1">
      <c r="A14" s="160" t="s">
        <v>309</v>
      </c>
    </row>
    <row r="15" spans="1:1">
      <c r="A15" s="160" t="s">
        <v>275</v>
      </c>
    </row>
    <row r="16" spans="1:1">
      <c r="A16" s="160" t="s">
        <v>310</v>
      </c>
    </row>
    <row r="17" spans="1:1">
      <c r="A17" s="160" t="s">
        <v>404</v>
      </c>
    </row>
    <row r="18" spans="1:1">
      <c r="A18" s="160" t="s">
        <v>412</v>
      </c>
    </row>
    <row r="19" spans="1:1">
      <c r="A19" s="160" t="s">
        <v>417</v>
      </c>
    </row>
    <row r="20" spans="1:1">
      <c r="A20" s="160" t="s">
        <v>418</v>
      </c>
    </row>
    <row r="21" spans="1:1">
      <c r="A21" s="160" t="s">
        <v>413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121" workbookViewId="0">
      <selection activeCell="H15" sqref="H15"/>
    </sheetView>
  </sheetViews>
  <sheetFormatPr defaultRowHeight="14.4"/>
  <cols>
    <col min="1" max="1" width="12.5546875" customWidth="1"/>
    <col min="2" max="2" width="16.109375" bestFit="1" customWidth="1"/>
    <col min="3" max="3" width="15.109375" bestFit="1" customWidth="1"/>
    <col min="4" max="4" width="12.5546875" customWidth="1"/>
    <col min="5" max="5" width="15.5546875" bestFit="1" customWidth="1"/>
    <col min="6" max="6" width="11.5546875" bestFit="1" customWidth="1"/>
    <col min="7" max="7" width="11.5546875" style="168" customWidth="1"/>
    <col min="8" max="8" width="13.88671875" style="168" bestFit="1" customWidth="1"/>
    <col min="9" max="9" width="11.6640625" bestFit="1" customWidth="1"/>
    <col min="10" max="10" width="34.44140625" style="168" bestFit="1" customWidth="1"/>
    <col min="11" max="11" width="7.109375" style="168" customWidth="1"/>
    <col min="12" max="12" width="39" style="168" bestFit="1" customWidth="1"/>
    <col min="13" max="13" width="8.6640625" style="168" customWidth="1"/>
    <col min="14" max="14" width="24.88671875" bestFit="1" customWidth="1"/>
  </cols>
  <sheetData>
    <row r="1" spans="1:13">
      <c r="A1" s="157" t="s">
        <v>325</v>
      </c>
      <c r="B1" s="170" t="s">
        <v>416</v>
      </c>
    </row>
    <row r="2" spans="1:13">
      <c r="A2" s="157" t="s">
        <v>324</v>
      </c>
      <c r="B2" s="170" t="s">
        <v>416</v>
      </c>
    </row>
    <row r="4" spans="1:13">
      <c r="B4" s="157" t="s">
        <v>322</v>
      </c>
      <c r="F4" s="164"/>
      <c r="G4" s="164"/>
      <c r="H4" s="164"/>
      <c r="I4" s="166" t="s">
        <v>391</v>
      </c>
      <c r="J4" s="169"/>
      <c r="K4" s="169"/>
      <c r="L4" s="169"/>
      <c r="M4" s="169"/>
    </row>
    <row r="5" spans="1:13">
      <c r="A5" s="157" t="s">
        <v>415</v>
      </c>
      <c r="B5" s="170" t="s">
        <v>321</v>
      </c>
      <c r="C5" s="170" t="s">
        <v>323</v>
      </c>
      <c r="F5" s="165"/>
      <c r="G5" s="165"/>
      <c r="H5" s="165"/>
      <c r="I5" s="166" t="s">
        <v>392</v>
      </c>
      <c r="J5" s="169"/>
      <c r="K5" s="169"/>
      <c r="L5" s="169"/>
      <c r="M5" s="169"/>
    </row>
    <row r="6" spans="1:13">
      <c r="A6" s="160" t="s">
        <v>413</v>
      </c>
      <c r="B6" s="163"/>
      <c r="C6" s="163"/>
      <c r="F6" s="167"/>
      <c r="G6" s="167"/>
      <c r="H6" s="167"/>
      <c r="I6" s="166" t="s">
        <v>393</v>
      </c>
      <c r="J6" s="169"/>
      <c r="K6" s="169"/>
      <c r="L6" s="169"/>
      <c r="M6" s="169"/>
    </row>
    <row r="9" spans="1:13">
      <c r="G9"/>
      <c r="H9"/>
      <c r="J9"/>
      <c r="K9"/>
      <c r="L9"/>
      <c r="M9"/>
    </row>
    <row r="10" spans="1:13">
      <c r="G10"/>
      <c r="H10"/>
      <c r="J10"/>
      <c r="K10"/>
      <c r="L10"/>
      <c r="M10"/>
    </row>
    <row r="11" spans="1:13">
      <c r="G11"/>
      <c r="H11"/>
      <c r="J11"/>
      <c r="K11"/>
      <c r="L11"/>
      <c r="M11"/>
    </row>
    <row r="12" spans="1:13">
      <c r="G12"/>
      <c r="H12"/>
      <c r="J12"/>
      <c r="K12"/>
      <c r="L12"/>
      <c r="M12"/>
    </row>
    <row r="13" spans="1:13">
      <c r="G13"/>
      <c r="H13"/>
      <c r="J13"/>
      <c r="K13"/>
      <c r="L13"/>
      <c r="M13"/>
    </row>
    <row r="14" spans="1:13">
      <c r="G14"/>
      <c r="H14"/>
      <c r="J14"/>
      <c r="K14"/>
      <c r="L14"/>
      <c r="M14"/>
    </row>
    <row r="15" spans="1:13">
      <c r="G15"/>
      <c r="H15"/>
      <c r="J15"/>
      <c r="K15"/>
      <c r="L15"/>
      <c r="M15"/>
    </row>
    <row r="16" spans="1:13">
      <c r="G16"/>
      <c r="H16"/>
      <c r="J16"/>
      <c r="K16"/>
      <c r="L16"/>
      <c r="M16"/>
    </row>
    <row r="17" spans="7:13">
      <c r="G17"/>
      <c r="H17"/>
      <c r="J17"/>
      <c r="K17"/>
      <c r="L17"/>
      <c r="M17"/>
    </row>
    <row r="18" spans="7:13">
      <c r="G18"/>
      <c r="H18"/>
      <c r="J18"/>
      <c r="K18"/>
      <c r="L18"/>
      <c r="M18"/>
    </row>
    <row r="19" spans="7:13">
      <c r="G19"/>
      <c r="H19"/>
      <c r="J19"/>
      <c r="K19"/>
      <c r="L19"/>
      <c r="M19"/>
    </row>
    <row r="20" spans="7:13">
      <c r="G20"/>
      <c r="H20"/>
      <c r="J20"/>
      <c r="K20"/>
      <c r="L20"/>
      <c r="M20"/>
    </row>
    <row r="21" spans="7:13">
      <c r="G21"/>
      <c r="H21"/>
      <c r="J21"/>
      <c r="K21"/>
      <c r="L21"/>
      <c r="M21"/>
    </row>
    <row r="22" spans="7:13">
      <c r="G22"/>
      <c r="H22"/>
      <c r="J22"/>
      <c r="K22"/>
      <c r="L22"/>
      <c r="M22"/>
    </row>
  </sheetData>
  <conditionalFormatting pivot="1">
    <cfRule type="dataBar" priority="5">
      <dataBar>
        <cfvo type="min"/>
        <cfvo type="max"/>
        <color rgb="FF638EC6"/>
      </dataBar>
    </cfRule>
  </conditionalFormatting>
  <conditionalFormatting pivot="1">
    <cfRule type="dataBar" priority="4">
      <dataBar>
        <cfvo type="min"/>
        <cfvo type="max"/>
        <color rgb="FF63C384"/>
      </dataBar>
    </cfRule>
  </conditionalFormatting>
  <conditionalFormatting pivot="1">
    <cfRule type="dataBar" priority="3">
      <dataBar>
        <cfvo type="min"/>
        <cfvo type="max"/>
        <color rgb="FF63C384"/>
      </dataBar>
    </cfRule>
  </conditionalFormatting>
  <conditionalFormatting pivot="1">
    <cfRule type="dataBar" priority="2">
      <dataBar>
        <cfvo type="min"/>
        <cfvo type="max"/>
        <color rgb="FF638EC6"/>
      </dataBar>
    </cfRule>
  </conditionalFormatting>
  <conditionalFormatting pivot="1">
    <cfRule type="dataBar" priority="1">
      <dataBar>
        <cfvo type="min"/>
        <cfvo type="max"/>
        <color rgb="FFFFB628"/>
      </dataBar>
    </cfRule>
  </conditionalFormatting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zoomScaleNormal="100" workbookViewId="0">
      <pane ySplit="1" topLeftCell="A2" activePane="bottomLeft" state="frozen"/>
      <selection pane="bottomLeft" activeCell="B29" sqref="B29"/>
    </sheetView>
  </sheetViews>
  <sheetFormatPr defaultColWidth="9.109375" defaultRowHeight="14.4"/>
  <cols>
    <col min="1" max="1" width="32.6640625" style="152" bestFit="1" customWidth="1"/>
    <col min="2" max="2" width="30.5546875" style="152" bestFit="1" customWidth="1"/>
    <col min="3" max="3" width="16.109375" style="152" customWidth="1"/>
    <col min="4" max="4" width="17.109375" style="152" customWidth="1"/>
    <col min="5" max="5" width="16.33203125" style="152" customWidth="1"/>
    <col min="6" max="6" width="14.88671875" style="152" customWidth="1"/>
    <col min="7" max="7" width="19.6640625" style="152" customWidth="1"/>
    <col min="8" max="8" width="14.5546875" style="152" customWidth="1"/>
    <col min="9" max="9" width="15.33203125" style="152" customWidth="1"/>
    <col min="10" max="11" width="10.44140625" style="152" customWidth="1"/>
    <col min="12" max="13" width="9.109375" style="152" customWidth="1"/>
    <col min="14" max="16384" width="9.109375" style="152"/>
  </cols>
  <sheetData>
    <row r="1" spans="1:12">
      <c r="A1" s="151" t="s">
        <v>11</v>
      </c>
      <c r="B1" s="150" t="s">
        <v>10</v>
      </c>
      <c r="C1" s="151" t="s">
        <v>0</v>
      </c>
      <c r="D1" s="151" t="s">
        <v>326</v>
      </c>
      <c r="E1" s="151" t="s">
        <v>330</v>
      </c>
      <c r="F1" s="151" t="s">
        <v>1</v>
      </c>
      <c r="G1" s="151" t="s">
        <v>2</v>
      </c>
      <c r="H1" s="151" t="s">
        <v>6</v>
      </c>
      <c r="I1" s="151" t="s">
        <v>3</v>
      </c>
      <c r="J1" s="151" t="s">
        <v>13</v>
      </c>
      <c r="K1" s="151" t="s">
        <v>324</v>
      </c>
      <c r="L1" s="151" t="s">
        <v>325</v>
      </c>
    </row>
    <row r="2" spans="1:12">
      <c r="A2" s="149" t="s">
        <v>191</v>
      </c>
      <c r="B2" s="150" t="s">
        <v>359</v>
      </c>
      <c r="C2" s="201">
        <v>92</v>
      </c>
      <c r="D2" s="201" t="s">
        <v>328</v>
      </c>
      <c r="E2" s="201" t="s">
        <v>331</v>
      </c>
      <c r="F2" s="202">
        <v>41673</v>
      </c>
      <c r="G2" s="202" t="s">
        <v>19</v>
      </c>
      <c r="H2" s="203" t="s">
        <v>27</v>
      </c>
      <c r="I2" s="203">
        <v>240000</v>
      </c>
      <c r="J2" s="204">
        <v>1</v>
      </c>
      <c r="K2" s="205">
        <f>MONTH(Tabela1[[#This Row],[Data da Venda]])</f>
        <v>2</v>
      </c>
      <c r="L2" s="205">
        <f>YEAR(Tabela1[[#This Row],[Data da Venda]])</f>
        <v>2014</v>
      </c>
    </row>
    <row r="3" spans="1:12">
      <c r="A3" s="199" t="s">
        <v>365</v>
      </c>
      <c r="B3" s="200" t="s">
        <v>362</v>
      </c>
      <c r="C3" s="201">
        <v>42</v>
      </c>
      <c r="D3" s="201" t="s">
        <v>329</v>
      </c>
      <c r="E3" s="201" t="s">
        <v>332</v>
      </c>
      <c r="F3" s="202">
        <v>41674</v>
      </c>
      <c r="G3" s="153" t="s">
        <v>370</v>
      </c>
      <c r="H3" s="203" t="s">
        <v>33</v>
      </c>
      <c r="I3" s="203">
        <v>484575</v>
      </c>
      <c r="J3" s="204">
        <v>1</v>
      </c>
      <c r="K3" s="205">
        <f>MONTH(Tabela1[[#This Row],[Data da Venda]])</f>
        <v>2</v>
      </c>
      <c r="L3" s="205">
        <f>YEAR(Tabela1[[#This Row],[Data da Venda]])</f>
        <v>2014</v>
      </c>
    </row>
    <row r="4" spans="1:12">
      <c r="A4" s="199" t="s">
        <v>365</v>
      </c>
      <c r="B4" s="200" t="s">
        <v>364</v>
      </c>
      <c r="C4" s="201">
        <v>63</v>
      </c>
      <c r="D4" s="201" t="s">
        <v>328</v>
      </c>
      <c r="E4" s="201" t="s">
        <v>332</v>
      </c>
      <c r="F4" s="202">
        <v>41674</v>
      </c>
      <c r="G4" s="202" t="s">
        <v>275</v>
      </c>
      <c r="H4" s="203" t="s">
        <v>27</v>
      </c>
      <c r="I4" s="203">
        <v>545700</v>
      </c>
      <c r="J4" s="204">
        <v>1</v>
      </c>
      <c r="K4" s="205">
        <f>MONTH(Tabela1[[#This Row],[Data da Venda]])</f>
        <v>2</v>
      </c>
      <c r="L4" s="205">
        <f>YEAR(Tabela1[[#This Row],[Data da Venda]])</f>
        <v>2014</v>
      </c>
    </row>
    <row r="5" spans="1:12">
      <c r="A5" s="199" t="s">
        <v>365</v>
      </c>
      <c r="B5" s="200" t="s">
        <v>362</v>
      </c>
      <c r="C5" s="201">
        <v>18</v>
      </c>
      <c r="D5" s="201" t="s">
        <v>328</v>
      </c>
      <c r="E5" s="201" t="s">
        <v>332</v>
      </c>
      <c r="F5" s="202">
        <v>41675</v>
      </c>
      <c r="G5" s="202" t="s">
        <v>283</v>
      </c>
      <c r="H5" s="203" t="s">
        <v>26</v>
      </c>
      <c r="I5" s="203">
        <v>365500</v>
      </c>
      <c r="J5" s="204">
        <v>1</v>
      </c>
      <c r="K5" s="205">
        <f>MONTH(Tabela1[[#This Row],[Data da Venda]])</f>
        <v>2</v>
      </c>
      <c r="L5" s="205">
        <f>YEAR(Tabela1[[#This Row],[Data da Venda]])</f>
        <v>2014</v>
      </c>
    </row>
    <row r="6" spans="1:12">
      <c r="A6" s="199" t="s">
        <v>385</v>
      </c>
      <c r="B6" s="200" t="s">
        <v>386</v>
      </c>
      <c r="C6" s="201">
        <v>1705</v>
      </c>
      <c r="D6" s="201" t="s">
        <v>328</v>
      </c>
      <c r="E6" s="201" t="s">
        <v>332</v>
      </c>
      <c r="F6" s="202">
        <v>41675</v>
      </c>
      <c r="G6" s="202" t="s">
        <v>56</v>
      </c>
      <c r="H6" s="203" t="s">
        <v>26</v>
      </c>
      <c r="I6" s="203">
        <v>350300</v>
      </c>
      <c r="J6" s="204">
        <v>1</v>
      </c>
      <c r="K6" s="205">
        <f>MONTH(Tabela1[[#This Row],[Data da Venda]])</f>
        <v>2</v>
      </c>
      <c r="L6" s="205">
        <f>YEAR(Tabela1[[#This Row],[Data da Venda]])</f>
        <v>2014</v>
      </c>
    </row>
    <row r="7" spans="1:12">
      <c r="A7" s="199" t="s">
        <v>365</v>
      </c>
      <c r="B7" s="200" t="s">
        <v>364</v>
      </c>
      <c r="C7" s="201">
        <v>11</v>
      </c>
      <c r="D7" s="201" t="s">
        <v>328</v>
      </c>
      <c r="E7" s="201" t="s">
        <v>332</v>
      </c>
      <c r="F7" s="202">
        <v>41676</v>
      </c>
      <c r="G7" s="202" t="s">
        <v>283</v>
      </c>
      <c r="H7" s="203" t="s">
        <v>26</v>
      </c>
      <c r="I7" s="203">
        <v>406237</v>
      </c>
      <c r="J7" s="204">
        <v>1</v>
      </c>
      <c r="K7" s="205">
        <f>MONTH(Tabela1[[#This Row],[Data da Venda]])</f>
        <v>2</v>
      </c>
      <c r="L7" s="205">
        <f>YEAR(Tabela1[[#This Row],[Data da Venda]])</f>
        <v>2014</v>
      </c>
    </row>
    <row r="8" spans="1:12">
      <c r="A8" s="199" t="s">
        <v>365</v>
      </c>
      <c r="B8" s="200" t="s">
        <v>364</v>
      </c>
      <c r="C8" s="201">
        <v>68</v>
      </c>
      <c r="D8" s="201" t="s">
        <v>328</v>
      </c>
      <c r="E8" s="201" t="s">
        <v>332</v>
      </c>
      <c r="F8" s="202">
        <v>41676</v>
      </c>
      <c r="G8" s="202" t="s">
        <v>412</v>
      </c>
      <c r="H8" s="203" t="s">
        <v>26</v>
      </c>
      <c r="I8" s="203">
        <v>425000</v>
      </c>
      <c r="J8" s="204">
        <v>1</v>
      </c>
      <c r="K8" s="205">
        <f>MONTH(Tabela1[[#This Row],[Data da Venda]])</f>
        <v>2</v>
      </c>
      <c r="L8" s="205">
        <f>YEAR(Tabela1[[#This Row],[Data da Venda]])</f>
        <v>2014</v>
      </c>
    </row>
    <row r="9" spans="1:12">
      <c r="A9" s="199" t="s">
        <v>374</v>
      </c>
      <c r="B9" s="200" t="s">
        <v>375</v>
      </c>
      <c r="C9" s="201">
        <v>132</v>
      </c>
      <c r="D9" s="201" t="s">
        <v>328</v>
      </c>
      <c r="E9" s="201" t="s">
        <v>332</v>
      </c>
      <c r="F9" s="202">
        <v>41676</v>
      </c>
      <c r="G9" s="202" t="s">
        <v>309</v>
      </c>
      <c r="H9" s="203" t="s">
        <v>26</v>
      </c>
      <c r="I9" s="203">
        <v>659000</v>
      </c>
      <c r="J9" s="204">
        <v>1</v>
      </c>
      <c r="K9" s="205">
        <f>MONTH(Tabela1[[#This Row],[Data da Venda]])</f>
        <v>2</v>
      </c>
      <c r="L9" s="205">
        <f>YEAR(Tabela1[[#This Row],[Data da Venda]])</f>
        <v>2014</v>
      </c>
    </row>
    <row r="10" spans="1:12">
      <c r="A10" s="199" t="s">
        <v>385</v>
      </c>
      <c r="B10" s="200" t="s">
        <v>386</v>
      </c>
      <c r="C10" s="201">
        <v>1706</v>
      </c>
      <c r="D10" s="201" t="s">
        <v>328</v>
      </c>
      <c r="E10" s="201" t="s">
        <v>332</v>
      </c>
      <c r="F10" s="202">
        <v>41676</v>
      </c>
      <c r="G10" s="202" t="s">
        <v>417</v>
      </c>
      <c r="H10" s="203" t="s">
        <v>25</v>
      </c>
      <c r="I10" s="203">
        <v>345960</v>
      </c>
      <c r="J10" s="204">
        <v>1</v>
      </c>
      <c r="K10" s="205">
        <f>MONTH(Tabela1[[#This Row],[Data da Venda]])</f>
        <v>2</v>
      </c>
      <c r="L10" s="205">
        <f>YEAR(Tabela1[[#This Row],[Data da Venda]])</f>
        <v>2014</v>
      </c>
    </row>
    <row r="11" spans="1:12">
      <c r="A11" s="199" t="s">
        <v>367</v>
      </c>
      <c r="B11" s="200" t="s">
        <v>360</v>
      </c>
      <c r="C11" s="201">
        <v>5</v>
      </c>
      <c r="D11" s="201" t="s">
        <v>329</v>
      </c>
      <c r="E11" s="201" t="s">
        <v>331</v>
      </c>
      <c r="F11" s="202">
        <v>41677</v>
      </c>
      <c r="G11" s="153" t="s">
        <v>371</v>
      </c>
      <c r="H11" s="203" t="s">
        <v>33</v>
      </c>
      <c r="I11" s="203">
        <v>240500</v>
      </c>
      <c r="J11" s="204">
        <v>1</v>
      </c>
      <c r="K11" s="205">
        <f>MONTH(Tabela1[[#This Row],[Data da Venda]])</f>
        <v>2</v>
      </c>
      <c r="L11" s="205">
        <f>YEAR(Tabela1[[#This Row],[Data da Venda]])</f>
        <v>2014</v>
      </c>
    </row>
    <row r="12" spans="1:12">
      <c r="A12" s="199" t="s">
        <v>365</v>
      </c>
      <c r="B12" s="200" t="s">
        <v>362</v>
      </c>
      <c r="C12" s="201">
        <v>32</v>
      </c>
      <c r="D12" s="201" t="s">
        <v>328</v>
      </c>
      <c r="E12" s="201" t="s">
        <v>332</v>
      </c>
      <c r="F12" s="202">
        <v>41678</v>
      </c>
      <c r="G12" s="202" t="s">
        <v>404</v>
      </c>
      <c r="H12" s="203" t="s">
        <v>369</v>
      </c>
      <c r="I12" s="203">
        <f>479400/2</f>
        <v>239700</v>
      </c>
      <c r="J12" s="204">
        <v>0.5</v>
      </c>
      <c r="K12" s="205">
        <f>MONTH(Tabela1[[#This Row],[Data da Venda]])</f>
        <v>2</v>
      </c>
      <c r="L12" s="205">
        <f>YEAR(Tabela1[[#This Row],[Data da Venda]])</f>
        <v>2014</v>
      </c>
    </row>
    <row r="13" spans="1:12">
      <c r="A13" s="199" t="s">
        <v>365</v>
      </c>
      <c r="B13" s="200" t="s">
        <v>362</v>
      </c>
      <c r="C13" s="201">
        <v>32</v>
      </c>
      <c r="D13" s="201" t="s">
        <v>328</v>
      </c>
      <c r="E13" s="201" t="s">
        <v>332</v>
      </c>
      <c r="F13" s="202">
        <v>41678</v>
      </c>
      <c r="G13" s="202" t="s">
        <v>277</v>
      </c>
      <c r="H13" s="203" t="s">
        <v>369</v>
      </c>
      <c r="I13" s="203">
        <f>479400/2</f>
        <v>239700</v>
      </c>
      <c r="J13" s="204">
        <v>0.5</v>
      </c>
      <c r="K13" s="205">
        <f>MONTH(Tabela1[[#This Row],[Data da Venda]])</f>
        <v>2</v>
      </c>
      <c r="L13" s="205">
        <f>YEAR(Tabela1[[#This Row],[Data da Venda]])</f>
        <v>2014</v>
      </c>
    </row>
    <row r="14" spans="1:12">
      <c r="A14" s="199" t="s">
        <v>365</v>
      </c>
      <c r="B14" s="200" t="s">
        <v>362</v>
      </c>
      <c r="C14" s="201">
        <v>61</v>
      </c>
      <c r="D14" s="201" t="s">
        <v>328</v>
      </c>
      <c r="E14" s="201" t="s">
        <v>332</v>
      </c>
      <c r="F14" s="202">
        <v>41679</v>
      </c>
      <c r="G14" s="202" t="s">
        <v>412</v>
      </c>
      <c r="H14" s="203" t="s">
        <v>26</v>
      </c>
      <c r="I14" s="203">
        <v>388500</v>
      </c>
      <c r="J14" s="204">
        <v>1</v>
      </c>
      <c r="K14" s="205">
        <f>MONTH(Tabela1[[#This Row],[Data da Venda]])</f>
        <v>2</v>
      </c>
      <c r="L14" s="205">
        <f>YEAR(Tabela1[[#This Row],[Data da Venda]])</f>
        <v>2014</v>
      </c>
    </row>
    <row r="15" spans="1:12">
      <c r="A15" s="149" t="s">
        <v>191</v>
      </c>
      <c r="B15" s="150" t="s">
        <v>361</v>
      </c>
      <c r="C15" s="201">
        <v>27</v>
      </c>
      <c r="D15" s="201" t="s">
        <v>328</v>
      </c>
      <c r="E15" s="201" t="s">
        <v>331</v>
      </c>
      <c r="F15" s="202">
        <v>41680</v>
      </c>
      <c r="G15" s="202" t="s">
        <v>19</v>
      </c>
      <c r="H15" s="203" t="s">
        <v>27</v>
      </c>
      <c r="I15" s="203">
        <v>195300</v>
      </c>
      <c r="J15" s="204">
        <v>1</v>
      </c>
      <c r="K15" s="205">
        <f>MONTH(Tabela1[[#This Row],[Data da Venda]])</f>
        <v>2</v>
      </c>
      <c r="L15" s="205">
        <f>YEAR(Tabela1[[#This Row],[Data da Venda]])</f>
        <v>2014</v>
      </c>
    </row>
    <row r="16" spans="1:12" ht="14.4" customHeight="1">
      <c r="A16" s="149" t="s">
        <v>191</v>
      </c>
      <c r="B16" s="200" t="s">
        <v>363</v>
      </c>
      <c r="C16" s="201">
        <v>66</v>
      </c>
      <c r="D16" s="201" t="s">
        <v>328</v>
      </c>
      <c r="E16" s="201" t="s">
        <v>331</v>
      </c>
      <c r="F16" s="202">
        <v>41680</v>
      </c>
      <c r="G16" s="202" t="s">
        <v>148</v>
      </c>
      <c r="H16" s="203" t="s">
        <v>26</v>
      </c>
      <c r="I16" s="203">
        <v>240000</v>
      </c>
      <c r="J16" s="204">
        <v>1</v>
      </c>
      <c r="K16" s="205">
        <f>MONTH(Tabela1[[#This Row],[Data da Venda]])</f>
        <v>2</v>
      </c>
      <c r="L16" s="205">
        <f>YEAR(Tabela1[[#This Row],[Data da Venda]])</f>
        <v>2014</v>
      </c>
    </row>
    <row r="17" spans="1:12" ht="16.2" customHeight="1">
      <c r="A17" s="199" t="s">
        <v>366</v>
      </c>
      <c r="B17" s="200" t="s">
        <v>390</v>
      </c>
      <c r="C17" s="201">
        <v>408</v>
      </c>
      <c r="D17" s="201" t="s">
        <v>327</v>
      </c>
      <c r="E17" s="201" t="s">
        <v>327</v>
      </c>
      <c r="F17" s="202">
        <v>41680</v>
      </c>
      <c r="G17" s="153" t="s">
        <v>351</v>
      </c>
      <c r="H17" s="203" t="s">
        <v>352</v>
      </c>
      <c r="I17" s="203">
        <v>392523.62</v>
      </c>
      <c r="J17" s="204">
        <v>1</v>
      </c>
      <c r="K17" s="205">
        <f>MONTH(Tabela1[[#This Row],[Data da Venda]])</f>
        <v>2</v>
      </c>
      <c r="L17" s="205">
        <f>YEAR(Tabela1[[#This Row],[Data da Venda]])</f>
        <v>2014</v>
      </c>
    </row>
    <row r="18" spans="1:12">
      <c r="A18" s="149" t="s">
        <v>208</v>
      </c>
      <c r="B18" s="200" t="s">
        <v>188</v>
      </c>
      <c r="C18" s="201">
        <v>107</v>
      </c>
      <c r="D18" s="201" t="s">
        <v>329</v>
      </c>
      <c r="E18" s="201" t="s">
        <v>331</v>
      </c>
      <c r="F18" s="202">
        <v>41681</v>
      </c>
      <c r="G18" s="153" t="s">
        <v>371</v>
      </c>
      <c r="H18" s="203" t="s">
        <v>33</v>
      </c>
      <c r="I18" s="203">
        <v>273500</v>
      </c>
      <c r="J18" s="204">
        <v>1</v>
      </c>
      <c r="K18" s="205">
        <f>MONTH(Tabela1[[#This Row],[Data da Venda]])</f>
        <v>2</v>
      </c>
      <c r="L18" s="205">
        <f>YEAR(Tabela1[[#This Row],[Data da Venda]])</f>
        <v>2014</v>
      </c>
    </row>
    <row r="19" spans="1:12">
      <c r="A19" s="199" t="s">
        <v>233</v>
      </c>
      <c r="B19" s="200" t="s">
        <v>390</v>
      </c>
      <c r="C19" s="201">
        <v>18</v>
      </c>
      <c r="D19" s="201" t="s">
        <v>329</v>
      </c>
      <c r="E19" s="201" t="s">
        <v>331</v>
      </c>
      <c r="F19" s="202">
        <v>41682</v>
      </c>
      <c r="G19" s="153" t="s">
        <v>371</v>
      </c>
      <c r="H19" s="203" t="s">
        <v>33</v>
      </c>
      <c r="I19" s="203">
        <v>343000</v>
      </c>
      <c r="J19" s="204">
        <v>1</v>
      </c>
      <c r="K19" s="205">
        <f>MONTH(Tabela1[[#This Row],[Data da Venda]])</f>
        <v>2</v>
      </c>
      <c r="L19" s="205">
        <f>YEAR(Tabela1[[#This Row],[Data da Venda]])</f>
        <v>2014</v>
      </c>
    </row>
    <row r="20" spans="1:12">
      <c r="A20" s="199" t="s">
        <v>191</v>
      </c>
      <c r="B20" s="200" t="s">
        <v>359</v>
      </c>
      <c r="C20" s="201">
        <v>72</v>
      </c>
      <c r="D20" s="201" t="s">
        <v>329</v>
      </c>
      <c r="E20" s="201" t="s">
        <v>331</v>
      </c>
      <c r="F20" s="202">
        <v>41682</v>
      </c>
      <c r="G20" s="153" t="s">
        <v>419</v>
      </c>
      <c r="H20" s="203" t="s">
        <v>33</v>
      </c>
      <c r="I20" s="203">
        <f>252700/2</f>
        <v>126350</v>
      </c>
      <c r="J20" s="204">
        <v>0.5</v>
      </c>
      <c r="K20" s="205">
        <f>MONTH(Tabela1[[#This Row],[Data da Venda]])</f>
        <v>2</v>
      </c>
      <c r="L20" s="205">
        <f>YEAR(Tabela1[[#This Row],[Data da Venda]])</f>
        <v>2014</v>
      </c>
    </row>
    <row r="21" spans="1:12">
      <c r="A21" s="199" t="s">
        <v>191</v>
      </c>
      <c r="B21" s="200" t="s">
        <v>359</v>
      </c>
      <c r="C21" s="201">
        <v>72</v>
      </c>
      <c r="D21" s="201" t="s">
        <v>328</v>
      </c>
      <c r="E21" s="201" t="s">
        <v>331</v>
      </c>
      <c r="F21" s="202">
        <v>41682</v>
      </c>
      <c r="G21" s="202" t="s">
        <v>307</v>
      </c>
      <c r="H21" s="203" t="s">
        <v>24</v>
      </c>
      <c r="I21" s="203">
        <f>252700/2</f>
        <v>126350</v>
      </c>
      <c r="J21" s="204">
        <v>0.5</v>
      </c>
      <c r="K21" s="205">
        <f>MONTH(Tabela1[[#This Row],[Data da Venda]])</f>
        <v>2</v>
      </c>
      <c r="L21" s="205">
        <f>YEAR(Tabela1[[#This Row],[Data da Venda]])</f>
        <v>2014</v>
      </c>
    </row>
    <row r="22" spans="1:12">
      <c r="A22" s="199" t="s">
        <v>191</v>
      </c>
      <c r="B22" s="200" t="s">
        <v>368</v>
      </c>
      <c r="C22" s="201">
        <v>23</v>
      </c>
      <c r="D22" s="201" t="s">
        <v>329</v>
      </c>
      <c r="E22" s="201" t="s">
        <v>331</v>
      </c>
      <c r="F22" s="202">
        <v>41682</v>
      </c>
      <c r="G22" s="153" t="s">
        <v>371</v>
      </c>
      <c r="H22" s="203" t="s">
        <v>33</v>
      </c>
      <c r="I22" s="203">
        <v>205000</v>
      </c>
      <c r="J22" s="204">
        <v>1</v>
      </c>
      <c r="K22" s="205">
        <f>MONTH(Tabela1[[#This Row],[Data da Venda]])</f>
        <v>2</v>
      </c>
      <c r="L22" s="205">
        <f>YEAR(Tabela1[[#This Row],[Data da Venda]])</f>
        <v>2014</v>
      </c>
    </row>
    <row r="23" spans="1:12">
      <c r="A23" s="199" t="s">
        <v>81</v>
      </c>
      <c r="B23" s="200" t="s">
        <v>390</v>
      </c>
      <c r="C23" s="201">
        <v>31</v>
      </c>
      <c r="D23" s="201" t="s">
        <v>328</v>
      </c>
      <c r="E23" s="201" t="s">
        <v>331</v>
      </c>
      <c r="F23" s="202">
        <v>41682</v>
      </c>
      <c r="G23" s="202" t="s">
        <v>310</v>
      </c>
      <c r="H23" s="203" t="s">
        <v>61</v>
      </c>
      <c r="I23" s="203">
        <v>483529.12</v>
      </c>
      <c r="J23" s="204">
        <v>1</v>
      </c>
      <c r="K23" s="205">
        <f>MONTH(Tabela1[[#This Row],[Data da Venda]])</f>
        <v>2</v>
      </c>
      <c r="L23" s="205">
        <f>YEAR(Tabela1[[#This Row],[Data da Venda]])</f>
        <v>2014</v>
      </c>
    </row>
    <row r="24" spans="1:12">
      <c r="A24" s="199" t="s">
        <v>191</v>
      </c>
      <c r="B24" s="150" t="s">
        <v>361</v>
      </c>
      <c r="C24" s="201">
        <v>128</v>
      </c>
      <c r="D24" s="201" t="s">
        <v>328</v>
      </c>
      <c r="E24" s="201" t="s">
        <v>331</v>
      </c>
      <c r="F24" s="202">
        <v>41683</v>
      </c>
      <c r="G24" s="153" t="s">
        <v>418</v>
      </c>
      <c r="H24" s="203" t="s">
        <v>26</v>
      </c>
      <c r="I24" s="203">
        <v>210000</v>
      </c>
      <c r="J24" s="204">
        <v>1</v>
      </c>
      <c r="K24" s="205">
        <f>MONTH(Tabela1[[#This Row],[Data da Venda]])</f>
        <v>2</v>
      </c>
      <c r="L24" s="205">
        <f>YEAR(Tabela1[[#This Row],[Data da Venda]])</f>
        <v>2014</v>
      </c>
    </row>
  </sheetData>
  <pageMargins left="0.51181102362204722" right="0.51181102362204722" top="0.78740157480314965" bottom="0.78740157480314965" header="0.31496062992125984" footer="0.31496062992125984"/>
  <pageSetup paperSize="9" scale="60" orientation="landscape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16" sqref="G16"/>
    </sheetView>
  </sheetViews>
  <sheetFormatPr defaultRowHeight="14.4"/>
  <cols>
    <col min="1" max="1" width="25.33203125" bestFit="1" customWidth="1"/>
    <col min="2" max="2" width="12.109375" bestFit="1" customWidth="1"/>
    <col min="4" max="4" width="9.6640625" bestFit="1" customWidth="1"/>
    <col min="5" max="5" width="9.88671875" bestFit="1" customWidth="1"/>
    <col min="6" max="6" width="10.6640625" bestFit="1" customWidth="1"/>
    <col min="7" max="7" width="9.5546875" bestFit="1" customWidth="1"/>
    <col min="8" max="8" width="15.6640625" customWidth="1"/>
  </cols>
  <sheetData>
    <row r="1" spans="1:9" s="7" customFormat="1">
      <c r="A1" s="99"/>
      <c r="B1" s="99"/>
      <c r="C1" s="99"/>
      <c r="D1" s="99"/>
      <c r="E1" s="99"/>
      <c r="F1" s="99"/>
      <c r="G1" s="99"/>
      <c r="H1" s="99"/>
      <c r="I1" s="99"/>
    </row>
    <row r="2" spans="1:9">
      <c r="A2" s="15"/>
      <c r="B2" s="25"/>
      <c r="C2" s="42"/>
      <c r="D2" s="9"/>
      <c r="E2" s="12"/>
      <c r="F2" s="10"/>
      <c r="G2" s="10"/>
      <c r="H2" s="90"/>
      <c r="I2" s="34"/>
    </row>
    <row r="3" spans="1:9">
      <c r="A3" s="15"/>
      <c r="B3" s="25"/>
      <c r="C3" s="42"/>
      <c r="D3" s="9"/>
      <c r="E3" s="12"/>
      <c r="F3" s="10"/>
      <c r="G3" s="10"/>
      <c r="H3" s="90"/>
      <c r="I3" s="34"/>
    </row>
    <row r="4" spans="1:9">
      <c r="A4" s="15"/>
      <c r="B4" s="25"/>
      <c r="C4" s="39"/>
      <c r="D4" s="9"/>
      <c r="E4" s="12"/>
      <c r="F4" s="10"/>
      <c r="G4" s="10"/>
      <c r="H4" s="90"/>
      <c r="I4" s="34"/>
    </row>
    <row r="5" spans="1:9">
      <c r="A5" s="15"/>
      <c r="B5" s="25"/>
      <c r="C5" s="39"/>
      <c r="D5" s="9"/>
      <c r="E5" s="12"/>
      <c r="F5" s="10"/>
      <c r="G5" s="10"/>
      <c r="H5" s="90"/>
      <c r="I5" s="34"/>
    </row>
    <row r="6" spans="1:9">
      <c r="A6" s="15"/>
      <c r="B6" s="25"/>
      <c r="C6" s="39"/>
      <c r="D6" s="9"/>
      <c r="E6" s="12"/>
      <c r="F6" s="10"/>
      <c r="G6" s="10"/>
      <c r="H6" s="90"/>
      <c r="I6" s="34"/>
    </row>
    <row r="7" spans="1:9">
      <c r="A7" s="15"/>
      <c r="B7" s="25"/>
      <c r="C7" s="42"/>
      <c r="D7" s="9"/>
      <c r="E7" s="12"/>
      <c r="F7" s="10"/>
      <c r="G7" s="100"/>
      <c r="H7" s="90"/>
      <c r="I7" s="62"/>
    </row>
    <row r="8" spans="1:9">
      <c r="A8" s="15"/>
      <c r="B8" s="25"/>
      <c r="C8" s="42"/>
      <c r="D8" s="9"/>
      <c r="E8" s="12"/>
      <c r="F8" s="10"/>
      <c r="G8" s="100"/>
      <c r="H8" s="90"/>
      <c r="I8" s="34"/>
    </row>
    <row r="9" spans="1:9">
      <c r="A9" s="15"/>
      <c r="B9" s="25"/>
      <c r="C9" s="39"/>
      <c r="D9" s="9"/>
      <c r="E9" s="12"/>
      <c r="F9" s="10"/>
      <c r="G9" s="10"/>
      <c r="H9" s="90"/>
      <c r="I9" s="34"/>
    </row>
    <row r="10" spans="1:9">
      <c r="A10" s="15"/>
      <c r="B10" s="25"/>
      <c r="C10" s="39"/>
      <c r="D10" s="9"/>
      <c r="E10" s="12"/>
      <c r="F10" s="10"/>
      <c r="G10" s="10"/>
      <c r="H10" s="90"/>
      <c r="I10" s="62"/>
    </row>
    <row r="11" spans="1:9">
      <c r="A11" s="15"/>
      <c r="B11" s="25"/>
      <c r="C11" s="39"/>
      <c r="D11" s="9"/>
      <c r="E11" s="12"/>
      <c r="F11" s="10"/>
      <c r="G11" s="10"/>
      <c r="H11" s="90"/>
      <c r="I11" s="62"/>
    </row>
    <row r="12" spans="1:9">
      <c r="A12" s="15"/>
      <c r="B12" s="25"/>
      <c r="C12" s="39"/>
      <c r="D12" s="9"/>
      <c r="E12" s="12"/>
      <c r="F12" s="10"/>
      <c r="G12" s="10"/>
      <c r="H12" s="90"/>
      <c r="I12" s="62"/>
    </row>
    <row r="13" spans="1:9">
      <c r="A13" s="15"/>
      <c r="B13" s="25"/>
      <c r="C13" s="39"/>
      <c r="D13" s="9"/>
      <c r="E13" s="12"/>
      <c r="F13" s="10"/>
      <c r="G13" s="10"/>
      <c r="H13" s="90"/>
      <c r="I13" s="62"/>
    </row>
    <row r="14" spans="1:9">
      <c r="A14" s="15"/>
      <c r="B14" s="25"/>
      <c r="C14" s="39"/>
      <c r="D14" s="9"/>
      <c r="E14" s="12"/>
      <c r="F14" s="10"/>
      <c r="G14" s="10"/>
      <c r="H14" s="90"/>
      <c r="I14" s="62"/>
    </row>
    <row r="15" spans="1:9">
      <c r="A15" s="15"/>
      <c r="B15" s="25"/>
      <c r="C15" s="39"/>
      <c r="D15" s="9"/>
      <c r="E15" s="12"/>
      <c r="F15" s="10"/>
      <c r="G15" s="10"/>
      <c r="H15" s="90"/>
      <c r="I15" s="62"/>
    </row>
    <row r="16" spans="1:9">
      <c r="A16" s="15"/>
      <c r="B16" s="25"/>
      <c r="C16" s="39"/>
      <c r="D16" s="9"/>
      <c r="E16" s="12"/>
      <c r="F16" s="10"/>
      <c r="G16" s="10"/>
      <c r="H16" s="90"/>
      <c r="I16" s="62"/>
    </row>
    <row r="17" spans="1:9">
      <c r="A17" s="15"/>
      <c r="B17" s="25"/>
      <c r="C17" s="39"/>
      <c r="D17" s="9"/>
      <c r="E17" s="12"/>
      <c r="F17" s="10"/>
      <c r="G17" s="10"/>
      <c r="H17" s="90"/>
      <c r="I17" s="62"/>
    </row>
    <row r="18" spans="1:9">
      <c r="A18" s="15"/>
      <c r="B18" s="25"/>
      <c r="C18" s="39"/>
      <c r="D18" s="9"/>
      <c r="E18" s="12"/>
      <c r="F18" s="10"/>
      <c r="G18" s="10"/>
      <c r="H18" s="90"/>
      <c r="I18" s="62"/>
    </row>
    <row r="19" spans="1:9">
      <c r="A19" s="15"/>
      <c r="B19" s="25"/>
      <c r="C19" s="39"/>
      <c r="D19" s="9"/>
      <c r="E19" s="12"/>
      <c r="F19" s="10"/>
      <c r="G19" s="10"/>
      <c r="H19" s="90"/>
      <c r="I19" s="62"/>
    </row>
    <row r="20" spans="1:9">
      <c r="A20" s="15"/>
      <c r="B20" s="25"/>
      <c r="C20" s="39"/>
      <c r="D20" s="9"/>
      <c r="E20" s="12"/>
      <c r="F20" s="10"/>
      <c r="G20" s="10"/>
      <c r="H20" s="90"/>
      <c r="I20" s="62"/>
    </row>
    <row r="21" spans="1:9">
      <c r="A21" s="15"/>
      <c r="B21" s="25"/>
      <c r="C21" s="39"/>
      <c r="D21" s="9"/>
      <c r="E21" s="12"/>
      <c r="F21" s="10"/>
      <c r="G21" s="10"/>
      <c r="H21" s="90"/>
      <c r="I21" s="34"/>
    </row>
    <row r="22" spans="1:9">
      <c r="A22" s="15"/>
      <c r="B22" s="25"/>
      <c r="C22" s="39"/>
      <c r="D22" s="9"/>
      <c r="E22" s="12"/>
      <c r="F22" s="10"/>
      <c r="G22" s="10"/>
      <c r="H22" s="90"/>
      <c r="I22" s="34"/>
    </row>
    <row r="23" spans="1:9">
      <c r="A23" s="15"/>
      <c r="B23" s="25"/>
      <c r="C23" s="39"/>
      <c r="D23" s="9"/>
      <c r="E23" s="12"/>
      <c r="F23" s="10"/>
      <c r="G23" s="10"/>
      <c r="H23" s="90"/>
      <c r="I23" s="34"/>
    </row>
    <row r="24" spans="1:9">
      <c r="A24" s="15"/>
      <c r="B24" s="25"/>
      <c r="C24" s="39"/>
      <c r="D24" s="9"/>
      <c r="E24" s="12"/>
      <c r="F24" s="10"/>
      <c r="G24" s="10"/>
      <c r="H24" s="90"/>
      <c r="I24" s="34"/>
    </row>
    <row r="25" spans="1:9">
      <c r="A25" s="15"/>
      <c r="B25" s="25"/>
      <c r="C25" s="25"/>
      <c r="D25" s="98"/>
      <c r="E25" s="25"/>
      <c r="F25" s="89"/>
      <c r="G25" s="89"/>
      <c r="H25" s="16"/>
      <c r="I25" s="25"/>
    </row>
    <row r="26" spans="1:9">
      <c r="H26" s="91"/>
      <c r="I26" s="10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8"/>
  <sheetViews>
    <sheetView workbookViewId="0">
      <selection activeCell="C17" sqref="C17"/>
    </sheetView>
  </sheetViews>
  <sheetFormatPr defaultColWidth="9.109375" defaultRowHeight="14.4"/>
  <cols>
    <col min="1" max="1" width="25" style="7" customWidth="1"/>
    <col min="2" max="2" width="13.6640625" style="7" bestFit="1" customWidth="1"/>
    <col min="3" max="3" width="20.6640625" style="7" customWidth="1"/>
    <col min="4" max="4" width="13.88671875" style="7" bestFit="1" customWidth="1"/>
    <col min="5" max="6" width="15" style="7" customWidth="1"/>
    <col min="7" max="7" width="14.6640625" style="7" customWidth="1"/>
    <col min="8" max="8" width="13.33203125" style="7" customWidth="1"/>
    <col min="9" max="9" width="15.33203125" style="7" bestFit="1" customWidth="1"/>
    <col min="10" max="10" width="10.44140625" style="7" customWidth="1"/>
    <col min="11" max="11" width="5.6640625" style="7" customWidth="1"/>
    <col min="12" max="13" width="15.44140625" style="7" hidden="1" customWidth="1"/>
    <col min="14" max="14" width="13.88671875" style="7" hidden="1" customWidth="1"/>
    <col min="15" max="15" width="11.5546875" style="7" hidden="1" customWidth="1"/>
    <col min="16" max="18" width="9.109375" style="7"/>
    <col min="19" max="19" width="12.88671875" style="7" customWidth="1"/>
    <col min="20" max="20" width="15.44140625" style="7" bestFit="1" customWidth="1"/>
    <col min="21" max="16384" width="9.109375" style="7"/>
  </cols>
  <sheetData>
    <row r="1" spans="1:20">
      <c r="A1" s="8" t="s">
        <v>11</v>
      </c>
      <c r="B1" s="8" t="s">
        <v>10</v>
      </c>
      <c r="C1" s="8" t="s">
        <v>0</v>
      </c>
      <c r="D1" s="8" t="s">
        <v>1</v>
      </c>
      <c r="E1" s="8" t="s">
        <v>2</v>
      </c>
      <c r="F1" s="8" t="s">
        <v>6</v>
      </c>
      <c r="G1" s="8" t="s">
        <v>28</v>
      </c>
      <c r="H1" s="8" t="s">
        <v>29</v>
      </c>
      <c r="I1" s="8" t="s">
        <v>3</v>
      </c>
      <c r="J1" s="32" t="s">
        <v>13</v>
      </c>
    </row>
    <row r="2" spans="1:20">
      <c r="A2" s="15" t="s">
        <v>124</v>
      </c>
      <c r="B2" s="25" t="s">
        <v>85</v>
      </c>
      <c r="C2" s="39">
        <v>101</v>
      </c>
      <c r="D2" s="9">
        <v>41343</v>
      </c>
      <c r="E2" s="12" t="s">
        <v>71</v>
      </c>
      <c r="F2" s="12" t="s">
        <v>24</v>
      </c>
      <c r="G2" s="10">
        <v>5822.36</v>
      </c>
      <c r="H2" s="10"/>
      <c r="I2" s="10">
        <v>214848.07</v>
      </c>
      <c r="J2" s="62">
        <v>0.5</v>
      </c>
      <c r="L2" s="123" t="str">
        <f>E2</f>
        <v>CHANNEL</v>
      </c>
      <c r="M2" s="123" t="s">
        <v>23</v>
      </c>
      <c r="N2" s="124">
        <f>I2</f>
        <v>214848.07</v>
      </c>
      <c r="O2" s="125">
        <f>J2</f>
        <v>0.5</v>
      </c>
      <c r="R2" s="142" t="s">
        <v>317</v>
      </c>
      <c r="S2" s="142" t="s">
        <v>318</v>
      </c>
      <c r="T2" s="142" t="s">
        <v>3</v>
      </c>
    </row>
    <row r="3" spans="1:20">
      <c r="A3" s="15" t="s">
        <v>124</v>
      </c>
      <c r="B3" s="25" t="s">
        <v>85</v>
      </c>
      <c r="C3" s="42">
        <v>911</v>
      </c>
      <c r="D3" s="9">
        <v>41343</v>
      </c>
      <c r="E3" s="12" t="s">
        <v>71</v>
      </c>
      <c r="F3" s="12" t="s">
        <v>24</v>
      </c>
      <c r="G3" s="10">
        <v>6436.25</v>
      </c>
      <c r="H3" s="10"/>
      <c r="I3" s="10">
        <v>237500</v>
      </c>
      <c r="J3" s="62">
        <v>0.5</v>
      </c>
      <c r="L3" s="123" t="str">
        <f>E3</f>
        <v>CHANNEL</v>
      </c>
      <c r="M3" s="123" t="s">
        <v>26</v>
      </c>
      <c r="N3" s="124">
        <f>SUM(I3:I7)</f>
        <v>4473280.76</v>
      </c>
      <c r="O3" s="125">
        <f>SUM(J3:J7)</f>
        <v>6.5</v>
      </c>
      <c r="R3" s="11" t="s">
        <v>25</v>
      </c>
      <c r="S3" s="11">
        <f>SUMIF($F$2:F434,"JIMMY",$J$2:J434)</f>
        <v>75.5</v>
      </c>
      <c r="T3" s="124">
        <f>SUMIF($F$2:F434,"JIMMY",$I$2:I434)</f>
        <v>33655170.480000004</v>
      </c>
    </row>
    <row r="4" spans="1:20">
      <c r="A4" s="15" t="s">
        <v>145</v>
      </c>
      <c r="B4" s="25" t="s">
        <v>85</v>
      </c>
      <c r="C4" s="39">
        <v>511</v>
      </c>
      <c r="D4" s="9">
        <v>41413</v>
      </c>
      <c r="E4" s="12" t="s">
        <v>71</v>
      </c>
      <c r="F4" s="12" t="s">
        <v>24</v>
      </c>
      <c r="G4" s="10">
        <v>2811.81</v>
      </c>
      <c r="H4" s="10">
        <v>1950.7</v>
      </c>
      <c r="I4" s="10">
        <v>175738.23999999999</v>
      </c>
      <c r="J4" s="62">
        <v>0.5</v>
      </c>
      <c r="L4" s="130"/>
      <c r="M4" s="131"/>
      <c r="N4" s="131"/>
      <c r="O4" s="132"/>
      <c r="R4" s="11" t="s">
        <v>26</v>
      </c>
      <c r="S4" s="11">
        <f>SUMIF($F$2:F436,"MOSHE",$J$2:J436)</f>
        <v>59.5</v>
      </c>
      <c r="T4" s="124">
        <f>SUMIF($F$2:F433,"MOSHE",$I$2:I433)</f>
        <v>33395358.640000004</v>
      </c>
    </row>
    <row r="5" spans="1:20">
      <c r="A5" s="15" t="s">
        <v>145</v>
      </c>
      <c r="B5" s="25" t="s">
        <v>85</v>
      </c>
      <c r="C5" s="39">
        <v>1706</v>
      </c>
      <c r="D5" s="9">
        <v>41413</v>
      </c>
      <c r="E5" s="12" t="s">
        <v>71</v>
      </c>
      <c r="F5" s="12" t="s">
        <v>24</v>
      </c>
      <c r="G5" s="10">
        <v>2975.2</v>
      </c>
      <c r="H5" s="10">
        <v>2064.0500000000002</v>
      </c>
      <c r="I5" s="10">
        <v>185950</v>
      </c>
      <c r="J5" s="62">
        <v>0.5</v>
      </c>
      <c r="L5" s="133"/>
      <c r="M5" s="134"/>
      <c r="N5" s="134"/>
      <c r="O5" s="135"/>
      <c r="R5" s="11" t="s">
        <v>24</v>
      </c>
      <c r="S5" s="11">
        <f>SUMIF($F$2:F438,"ABILIO",$J$2:J438)</f>
        <v>63.25</v>
      </c>
      <c r="T5" s="124">
        <f>SUMIF($F$2:F438,"ABILIO",$I$2:I438)</f>
        <v>30019724.600000005</v>
      </c>
    </row>
    <row r="6" spans="1:20">
      <c r="A6" s="15" t="s">
        <v>124</v>
      </c>
      <c r="B6" s="25" t="s">
        <v>85</v>
      </c>
      <c r="C6" s="42" t="s">
        <v>223</v>
      </c>
      <c r="D6" s="9">
        <v>41343</v>
      </c>
      <c r="E6" s="12" t="s">
        <v>70</v>
      </c>
      <c r="F6" s="12" t="s">
        <v>24</v>
      </c>
      <c r="G6" s="10">
        <f>8604.16+11728.04+13453.94+13200.09</f>
        <v>46986.229999999996</v>
      </c>
      <c r="H6" s="10"/>
      <c r="I6" s="10">
        <f>407780+432768.95+496455.36+487088.21</f>
        <v>1824092.52</v>
      </c>
      <c r="J6" s="62">
        <v>4</v>
      </c>
      <c r="L6" s="133"/>
      <c r="M6" s="134"/>
      <c r="N6" s="134"/>
      <c r="O6" s="135"/>
      <c r="R6" s="11" t="s">
        <v>27</v>
      </c>
      <c r="S6" s="11">
        <f>SUMIF($F$2:F436,"VITOR",$J$2:J436)</f>
        <v>51.5</v>
      </c>
      <c r="T6" s="124">
        <f>SUMIF($F$2:F436,"VITOR",$I$2:I436)</f>
        <v>23103387.890000001</v>
      </c>
    </row>
    <row r="7" spans="1:20">
      <c r="A7" s="15" t="s">
        <v>264</v>
      </c>
      <c r="B7" s="25" t="s">
        <v>85</v>
      </c>
      <c r="C7" s="39">
        <v>211</v>
      </c>
      <c r="D7" s="9">
        <v>41446</v>
      </c>
      <c r="E7" s="12" t="s">
        <v>70</v>
      </c>
      <c r="F7" s="12" t="s">
        <v>24</v>
      </c>
      <c r="G7" s="10">
        <v>41000</v>
      </c>
      <c r="H7" s="10">
        <v>0</v>
      </c>
      <c r="I7" s="10">
        <v>2050000</v>
      </c>
      <c r="J7" s="34">
        <v>1</v>
      </c>
      <c r="L7" s="136"/>
      <c r="M7" s="137"/>
      <c r="N7" s="137"/>
      <c r="O7" s="138"/>
      <c r="R7" s="11" t="s">
        <v>23</v>
      </c>
      <c r="S7" s="11">
        <f>SUMIF($F$2:F434,"ROBSON",$J$2:J434)</f>
        <v>53.75</v>
      </c>
      <c r="T7" s="124">
        <f>SUMIF($F$2:F434,"ROBSON",$I$2:I434)</f>
        <v>22370803.420000002</v>
      </c>
    </row>
    <row r="8" spans="1:20">
      <c r="A8" s="11" t="s">
        <v>269</v>
      </c>
      <c r="B8" s="25" t="s">
        <v>85</v>
      </c>
      <c r="C8" s="25">
        <v>151</v>
      </c>
      <c r="D8" s="98">
        <v>41439</v>
      </c>
      <c r="E8" s="25" t="s">
        <v>268</v>
      </c>
      <c r="F8" s="25" t="s">
        <v>24</v>
      </c>
      <c r="G8" s="105">
        <v>20947.29</v>
      </c>
      <c r="H8" s="105">
        <v>0</v>
      </c>
      <c r="I8" s="105">
        <v>568250</v>
      </c>
      <c r="J8" s="25">
        <v>0.25</v>
      </c>
      <c r="L8" s="123" t="str">
        <f>E8</f>
        <v>DAMIÃO</v>
      </c>
      <c r="M8" s="123" t="s">
        <v>25</v>
      </c>
      <c r="N8" s="124">
        <f>I8</f>
        <v>568250</v>
      </c>
      <c r="O8" s="125">
        <f>J8</f>
        <v>0.25</v>
      </c>
      <c r="R8" s="11" t="s">
        <v>61</v>
      </c>
      <c r="S8" s="11">
        <f>SUMIF($F$2:F440,"DOUGLAS",$J$2:J440)</f>
        <v>36</v>
      </c>
      <c r="T8" s="124">
        <f>SUMIF($F$2:F440,"DOUGLAS",$I$2:I440)</f>
        <v>16718501.76</v>
      </c>
    </row>
    <row r="9" spans="1:20">
      <c r="A9" s="15" t="s">
        <v>145</v>
      </c>
      <c r="B9" s="25" t="s">
        <v>85</v>
      </c>
      <c r="C9" s="39">
        <v>511</v>
      </c>
      <c r="D9" s="9">
        <v>41413</v>
      </c>
      <c r="E9" s="12" t="s">
        <v>307</v>
      </c>
      <c r="F9" s="12" t="s">
        <v>24</v>
      </c>
      <c r="G9" s="10">
        <v>2811.81</v>
      </c>
      <c r="H9" s="10">
        <v>1950.7</v>
      </c>
      <c r="I9" s="10">
        <v>175738.23999999999</v>
      </c>
      <c r="J9" s="62">
        <v>0.5</v>
      </c>
      <c r="L9" s="123" t="str">
        <f>E9</f>
        <v>ERICA</v>
      </c>
      <c r="M9" s="123" t="s">
        <v>25</v>
      </c>
      <c r="N9" s="124">
        <f>SUM(I9:I12)</f>
        <v>910769.22</v>
      </c>
      <c r="O9" s="125">
        <f>SUM(J9:J12)</f>
        <v>2</v>
      </c>
      <c r="R9" s="11" t="s">
        <v>79</v>
      </c>
      <c r="S9" s="11">
        <f>SUMIF($F$2:F439,"LUCIANO",$J$2:J439)</f>
        <v>26.5</v>
      </c>
      <c r="T9" s="124">
        <f>SUMIF($F$2:F439,"LUCIANO",$I$2:I439)</f>
        <v>13069017.049999999</v>
      </c>
    </row>
    <row r="10" spans="1:20">
      <c r="A10" s="15" t="s">
        <v>145</v>
      </c>
      <c r="B10" s="25" t="s">
        <v>85</v>
      </c>
      <c r="C10" s="39">
        <v>1706</v>
      </c>
      <c r="D10" s="9">
        <v>41413</v>
      </c>
      <c r="E10" s="12" t="s">
        <v>307</v>
      </c>
      <c r="F10" s="12" t="s">
        <v>24</v>
      </c>
      <c r="G10" s="10">
        <v>2975.2</v>
      </c>
      <c r="H10" s="10">
        <v>2064.0500000000002</v>
      </c>
      <c r="I10" s="10">
        <v>185950</v>
      </c>
      <c r="J10" s="62">
        <v>0.5</v>
      </c>
      <c r="L10" s="130"/>
      <c r="M10" s="131"/>
      <c r="N10" s="131"/>
      <c r="O10" s="132"/>
      <c r="R10" s="11" t="s">
        <v>32</v>
      </c>
      <c r="S10" s="11">
        <f>SUMIF($F$2:F438,"PIANTE",$J$2:J438)</f>
        <v>13.5</v>
      </c>
      <c r="T10" s="124">
        <f>SUMIF($F$2:F438,"PIANTE",$I$2:I438)</f>
        <v>5490159.5499999998</v>
      </c>
    </row>
    <row r="11" spans="1:20">
      <c r="A11" s="15" t="s">
        <v>270</v>
      </c>
      <c r="B11" s="25" t="s">
        <v>272</v>
      </c>
      <c r="C11" s="39">
        <v>31</v>
      </c>
      <c r="D11" s="9">
        <v>41451</v>
      </c>
      <c r="E11" s="12" t="s">
        <v>307</v>
      </c>
      <c r="F11" s="12" t="s">
        <v>24</v>
      </c>
      <c r="G11" s="10">
        <v>5225.7700000000004</v>
      </c>
      <c r="H11" s="10">
        <v>2645.55</v>
      </c>
      <c r="I11" s="10">
        <v>326610.53000000003</v>
      </c>
      <c r="J11" s="34">
        <v>0.5</v>
      </c>
      <c r="L11" s="133"/>
      <c r="M11" s="134"/>
      <c r="N11" s="134"/>
      <c r="O11" s="135"/>
      <c r="R11" s="11"/>
      <c r="S11" s="125"/>
      <c r="T11" s="11"/>
    </row>
    <row r="12" spans="1:20">
      <c r="A12" s="15" t="s">
        <v>270</v>
      </c>
      <c r="B12" s="25" t="s">
        <v>271</v>
      </c>
      <c r="C12" s="39">
        <v>32</v>
      </c>
      <c r="D12" s="9">
        <v>41452</v>
      </c>
      <c r="E12" s="12" t="s">
        <v>307</v>
      </c>
      <c r="F12" s="12" t="s">
        <v>24</v>
      </c>
      <c r="G12" s="10">
        <v>3559.53</v>
      </c>
      <c r="H12" s="10">
        <v>1802.01</v>
      </c>
      <c r="I12" s="10">
        <v>222470.45</v>
      </c>
      <c r="J12" s="34">
        <v>0.5</v>
      </c>
      <c r="L12" s="136"/>
      <c r="M12" s="137"/>
      <c r="N12" s="137"/>
      <c r="O12" s="138"/>
      <c r="R12" s="103" t="s">
        <v>108</v>
      </c>
      <c r="S12" s="139">
        <f>SUM(S3:S10)</f>
        <v>379.5</v>
      </c>
      <c r="T12" s="91">
        <f>SUM(T3:T10)</f>
        <v>177822123.39000005</v>
      </c>
    </row>
    <row r="13" spans="1:20">
      <c r="A13" s="15" t="s">
        <v>270</v>
      </c>
      <c r="B13" s="25" t="s">
        <v>272</v>
      </c>
      <c r="C13" s="39">
        <v>83</v>
      </c>
      <c r="D13" s="9">
        <v>41453</v>
      </c>
      <c r="E13" s="12" t="s">
        <v>307</v>
      </c>
      <c r="F13" s="12" t="s">
        <v>24</v>
      </c>
      <c r="G13" s="10">
        <v>2268.7399999999998</v>
      </c>
      <c r="H13" s="10">
        <v>2625.25</v>
      </c>
      <c r="I13" s="10">
        <v>648210.23</v>
      </c>
      <c r="J13" s="34">
        <v>0.5</v>
      </c>
      <c r="L13" s="123" t="str">
        <f>E13</f>
        <v>ERICA</v>
      </c>
      <c r="M13" s="123" t="s">
        <v>23</v>
      </c>
      <c r="N13" s="124">
        <f>I13</f>
        <v>648210.23</v>
      </c>
      <c r="O13" s="125">
        <f>J13</f>
        <v>0.5</v>
      </c>
    </row>
    <row r="14" spans="1:20">
      <c r="A14" s="15" t="s">
        <v>124</v>
      </c>
      <c r="B14" s="25" t="s">
        <v>85</v>
      </c>
      <c r="C14" s="42">
        <v>911</v>
      </c>
      <c r="D14" s="9">
        <v>41343</v>
      </c>
      <c r="E14" s="12" t="s">
        <v>307</v>
      </c>
      <c r="F14" s="12" t="s">
        <v>24</v>
      </c>
      <c r="G14" s="10">
        <v>6436.25</v>
      </c>
      <c r="H14" s="10"/>
      <c r="I14" s="10">
        <v>237500</v>
      </c>
      <c r="J14" s="62">
        <v>0.5</v>
      </c>
      <c r="L14" s="123" t="str">
        <f>E14</f>
        <v>ERICA</v>
      </c>
      <c r="M14" s="123" t="s">
        <v>25</v>
      </c>
      <c r="N14" s="124">
        <f>SUM(I14:I15)</f>
        <v>878550</v>
      </c>
      <c r="O14" s="125">
        <f>SUM(J14:J15)</f>
        <v>1.5</v>
      </c>
    </row>
    <row r="15" spans="1:20">
      <c r="A15" s="15" t="s">
        <v>53</v>
      </c>
      <c r="B15" s="25" t="s">
        <v>113</v>
      </c>
      <c r="C15" s="42">
        <v>43</v>
      </c>
      <c r="D15" s="9">
        <v>41305</v>
      </c>
      <c r="E15" s="12" t="s">
        <v>36</v>
      </c>
      <c r="F15" s="12" t="s">
        <v>24</v>
      </c>
      <c r="G15" s="10">
        <v>10256.799999999999</v>
      </c>
      <c r="H15" s="10">
        <v>0</v>
      </c>
      <c r="I15" s="10">
        <v>641050</v>
      </c>
      <c r="J15" s="34">
        <v>1</v>
      </c>
      <c r="L15" s="127"/>
      <c r="M15" s="128"/>
      <c r="N15" s="128"/>
      <c r="O15" s="129"/>
    </row>
    <row r="16" spans="1:20">
      <c r="A16" s="102" t="s">
        <v>186</v>
      </c>
      <c r="B16" s="25" t="s">
        <v>85</v>
      </c>
      <c r="C16" s="39">
        <v>702</v>
      </c>
      <c r="D16" s="12">
        <v>41340</v>
      </c>
      <c r="E16" s="12" t="s">
        <v>55</v>
      </c>
      <c r="F16" s="12" t="s">
        <v>24</v>
      </c>
      <c r="G16" s="10">
        <v>5830.87</v>
      </c>
      <c r="H16" s="10"/>
      <c r="I16" s="10">
        <v>224264.27</v>
      </c>
      <c r="J16" s="34">
        <v>0.5</v>
      </c>
      <c r="L16" s="123" t="str">
        <f>E16</f>
        <v>HELOISA</v>
      </c>
      <c r="M16" s="123" t="s">
        <v>79</v>
      </c>
      <c r="N16" s="124">
        <f>SUM(I16:I17)</f>
        <v>448707.54</v>
      </c>
      <c r="O16" s="125">
        <f>SUM(J16:J17)</f>
        <v>1</v>
      </c>
    </row>
    <row r="17" spans="1:15">
      <c r="A17" s="102" t="s">
        <v>186</v>
      </c>
      <c r="B17" s="25" t="s">
        <v>85</v>
      </c>
      <c r="C17" s="39">
        <v>703</v>
      </c>
      <c r="D17" s="12">
        <v>41340</v>
      </c>
      <c r="E17" s="12" t="s">
        <v>55</v>
      </c>
      <c r="F17" s="12" t="s">
        <v>24</v>
      </c>
      <c r="G17" s="10">
        <v>5835.53</v>
      </c>
      <c r="H17" s="10"/>
      <c r="I17" s="10">
        <v>224443.27</v>
      </c>
      <c r="J17" s="34">
        <v>0.5</v>
      </c>
      <c r="L17" s="223"/>
      <c r="M17" s="224"/>
      <c r="N17" s="224"/>
      <c r="O17" s="225"/>
    </row>
    <row r="18" spans="1:15">
      <c r="A18" s="15" t="s">
        <v>145</v>
      </c>
      <c r="B18" s="25" t="s">
        <v>85</v>
      </c>
      <c r="C18" s="39">
        <v>1713</v>
      </c>
      <c r="D18" s="9">
        <v>41413</v>
      </c>
      <c r="E18" s="12" t="s">
        <v>55</v>
      </c>
      <c r="F18" s="12" t="s">
        <v>24</v>
      </c>
      <c r="G18" s="10">
        <v>3736.01</v>
      </c>
      <c r="H18" s="10">
        <v>2591.86</v>
      </c>
      <c r="I18" s="10">
        <v>233500.33</v>
      </c>
      <c r="J18" s="62">
        <v>0.5</v>
      </c>
      <c r="L18" s="123" t="str">
        <f>E18</f>
        <v>HELOISA</v>
      </c>
      <c r="M18" s="123" t="s">
        <v>26</v>
      </c>
      <c r="N18" s="124">
        <f>SUM(I18:I19)</f>
        <v>700500.32</v>
      </c>
      <c r="O18" s="125">
        <f>SUM(J18:J19)</f>
        <v>1.5</v>
      </c>
    </row>
    <row r="19" spans="1:15">
      <c r="A19" s="15" t="s">
        <v>145</v>
      </c>
      <c r="B19" s="25" t="s">
        <v>85</v>
      </c>
      <c r="C19" s="39">
        <v>1913</v>
      </c>
      <c r="D19" s="9">
        <v>41413</v>
      </c>
      <c r="E19" s="12" t="s">
        <v>55</v>
      </c>
      <c r="F19" s="12" t="s">
        <v>24</v>
      </c>
      <c r="G19" s="10">
        <v>7472</v>
      </c>
      <c r="H19" s="10">
        <v>5183.7</v>
      </c>
      <c r="I19" s="10">
        <v>466999.99</v>
      </c>
      <c r="J19" s="62">
        <v>1</v>
      </c>
      <c r="L19" s="11"/>
      <c r="M19" s="11"/>
      <c r="N19" s="124"/>
      <c r="O19" s="125"/>
    </row>
    <row r="20" spans="1:15">
      <c r="A20" s="15" t="s">
        <v>270</v>
      </c>
      <c r="B20" s="25" t="s">
        <v>272</v>
      </c>
      <c r="C20" s="39">
        <v>31</v>
      </c>
      <c r="D20" s="9">
        <v>41451</v>
      </c>
      <c r="E20" s="12" t="s">
        <v>55</v>
      </c>
      <c r="F20" s="12" t="s">
        <v>24</v>
      </c>
      <c r="G20" s="10">
        <v>5225.7700000000004</v>
      </c>
      <c r="H20" s="10">
        <v>2645.55</v>
      </c>
      <c r="I20" s="10">
        <v>326610.53000000003</v>
      </c>
      <c r="J20" s="34">
        <v>0.5</v>
      </c>
      <c r="L20" s="123" t="str">
        <f>E20</f>
        <v>HELOISA</v>
      </c>
      <c r="M20" s="123" t="s">
        <v>27</v>
      </c>
      <c r="N20" s="124">
        <f>SUM(I20:I22)</f>
        <v>1031899.4099999999</v>
      </c>
      <c r="O20" s="125">
        <f>SUM(J20:J22)</f>
        <v>2</v>
      </c>
    </row>
    <row r="21" spans="1:15">
      <c r="A21" s="15" t="s">
        <v>270</v>
      </c>
      <c r="B21" s="25" t="s">
        <v>271</v>
      </c>
      <c r="C21" s="39">
        <v>32</v>
      </c>
      <c r="D21" s="9">
        <v>41452</v>
      </c>
      <c r="E21" s="12" t="s">
        <v>55</v>
      </c>
      <c r="F21" s="12" t="s">
        <v>24</v>
      </c>
      <c r="G21" s="10">
        <v>3559.53</v>
      </c>
      <c r="H21" s="10">
        <v>1802.01</v>
      </c>
      <c r="I21" s="10">
        <v>222470.45</v>
      </c>
      <c r="J21" s="34">
        <v>0.5</v>
      </c>
      <c r="L21" s="11"/>
      <c r="M21" s="11"/>
      <c r="N21" s="124"/>
      <c r="O21" s="125"/>
    </row>
    <row r="22" spans="1:15">
      <c r="A22" s="15" t="s">
        <v>270</v>
      </c>
      <c r="B22" s="25" t="s">
        <v>273</v>
      </c>
      <c r="C22" s="39">
        <v>87</v>
      </c>
      <c r="D22" s="9">
        <v>41451</v>
      </c>
      <c r="E22" s="12" t="s">
        <v>55</v>
      </c>
      <c r="F22" s="12" t="s">
        <v>24</v>
      </c>
      <c r="G22" s="10">
        <v>7725.09</v>
      </c>
      <c r="H22" s="10">
        <v>3910.83</v>
      </c>
      <c r="I22" s="10">
        <v>482818.43</v>
      </c>
      <c r="J22" s="34">
        <v>1</v>
      </c>
      <c r="L22" s="11"/>
      <c r="M22" s="11"/>
      <c r="N22" s="124"/>
      <c r="O22" s="125"/>
    </row>
    <row r="23" spans="1:15">
      <c r="A23" s="15" t="s">
        <v>81</v>
      </c>
      <c r="B23" s="25" t="s">
        <v>85</v>
      </c>
      <c r="C23" s="39">
        <v>101</v>
      </c>
      <c r="D23" s="9">
        <v>41453</v>
      </c>
      <c r="E23" s="12" t="s">
        <v>266</v>
      </c>
      <c r="F23" s="12" t="s">
        <v>24</v>
      </c>
      <c r="G23" s="10">
        <f>I23*2%</f>
        <v>10143.6</v>
      </c>
      <c r="H23" s="10">
        <f>12730.22-G23</f>
        <v>2586.619999999999</v>
      </c>
      <c r="I23" s="10">
        <v>507180</v>
      </c>
      <c r="J23" s="62">
        <v>1</v>
      </c>
      <c r="L23" s="123" t="str">
        <f>E23</f>
        <v>IDALICE</v>
      </c>
      <c r="M23" s="123" t="s">
        <v>61</v>
      </c>
      <c r="N23" s="124">
        <f>SUM(I23:I24)</f>
        <v>1024841</v>
      </c>
      <c r="O23" s="125">
        <f>SUM(J23:J24)</f>
        <v>2</v>
      </c>
    </row>
    <row r="24" spans="1:15">
      <c r="A24" s="15" t="s">
        <v>81</v>
      </c>
      <c r="B24" s="25" t="s">
        <v>85</v>
      </c>
      <c r="C24" s="39">
        <v>131</v>
      </c>
      <c r="D24" s="9">
        <v>41453</v>
      </c>
      <c r="E24" s="12" t="s">
        <v>266</v>
      </c>
      <c r="F24" s="12" t="s">
        <v>24</v>
      </c>
      <c r="G24" s="10">
        <f>I24*2%</f>
        <v>10353.219999999999</v>
      </c>
      <c r="H24" s="10">
        <f>13303.89-G24</f>
        <v>2950.67</v>
      </c>
      <c r="I24" s="10">
        <v>517661</v>
      </c>
      <c r="J24" s="62">
        <v>1</v>
      </c>
      <c r="L24" s="11"/>
      <c r="M24" s="11"/>
      <c r="N24" s="124"/>
      <c r="O24" s="125"/>
    </row>
    <row r="25" spans="1:15">
      <c r="A25" s="15" t="s">
        <v>53</v>
      </c>
      <c r="B25" s="25" t="s">
        <v>85</v>
      </c>
      <c r="C25" s="42">
        <v>44</v>
      </c>
      <c r="D25" s="9">
        <v>41394</v>
      </c>
      <c r="E25" s="12" t="s">
        <v>141</v>
      </c>
      <c r="F25" s="12" t="s">
        <v>24</v>
      </c>
      <c r="G25" s="10">
        <v>7840</v>
      </c>
      <c r="H25" s="10"/>
      <c r="I25" s="10">
        <v>490000</v>
      </c>
      <c r="J25" s="62">
        <v>1</v>
      </c>
      <c r="L25" s="123" t="str">
        <f>E25</f>
        <v>LIANY</v>
      </c>
      <c r="M25" s="123" t="s">
        <v>32</v>
      </c>
      <c r="N25" s="124">
        <f>SUM(I25:I26)</f>
        <v>519437.9</v>
      </c>
      <c r="O25" s="125">
        <f>SUM(J25:J26)</f>
        <v>2</v>
      </c>
    </row>
    <row r="26" spans="1:15">
      <c r="A26" s="15" t="s">
        <v>53</v>
      </c>
      <c r="B26" s="25" t="s">
        <v>201</v>
      </c>
      <c r="C26" s="42" t="s">
        <v>217</v>
      </c>
      <c r="D26" s="9">
        <v>41394</v>
      </c>
      <c r="E26" s="12" t="s">
        <v>141</v>
      </c>
      <c r="F26" s="12" t="s">
        <v>24</v>
      </c>
      <c r="G26" s="10">
        <v>471.01</v>
      </c>
      <c r="H26" s="10"/>
      <c r="I26" s="10">
        <v>29437.9</v>
      </c>
      <c r="J26" s="62">
        <v>1</v>
      </c>
      <c r="L26" s="11"/>
      <c r="M26" s="11"/>
      <c r="N26" s="124"/>
      <c r="O26" s="125"/>
    </row>
    <row r="27" spans="1:15">
      <c r="A27" s="15" t="s">
        <v>145</v>
      </c>
      <c r="B27" s="25" t="s">
        <v>85</v>
      </c>
      <c r="C27" s="39">
        <v>1601</v>
      </c>
      <c r="D27" s="9">
        <v>41411</v>
      </c>
      <c r="E27" s="12" t="s">
        <v>141</v>
      </c>
      <c r="F27" s="12" t="s">
        <v>24</v>
      </c>
      <c r="G27" s="10">
        <v>5973.28</v>
      </c>
      <c r="H27" s="10">
        <v>4143.97</v>
      </c>
      <c r="I27" s="10">
        <v>373330.3</v>
      </c>
      <c r="J27" s="62">
        <v>1</v>
      </c>
      <c r="L27" s="123" t="str">
        <f>E27</f>
        <v>LIANY</v>
      </c>
      <c r="M27" s="123" t="s">
        <v>61</v>
      </c>
      <c r="N27" s="124">
        <f>SUM(I27:I28)</f>
        <v>752260.84</v>
      </c>
      <c r="O27" s="125">
        <f>SUM(J27:J28)</f>
        <v>2</v>
      </c>
    </row>
    <row r="28" spans="1:15">
      <c r="A28" s="15" t="s">
        <v>145</v>
      </c>
      <c r="B28" s="25" t="s">
        <v>85</v>
      </c>
      <c r="C28" s="39">
        <v>2002</v>
      </c>
      <c r="D28" s="9">
        <v>41411</v>
      </c>
      <c r="E28" s="12" t="s">
        <v>141</v>
      </c>
      <c r="F28" s="12" t="s">
        <v>24</v>
      </c>
      <c r="G28" s="10">
        <v>6062.89</v>
      </c>
      <c r="H28" s="10">
        <v>4206.13</v>
      </c>
      <c r="I28" s="10">
        <v>378930.54</v>
      </c>
      <c r="J28" s="34">
        <v>1</v>
      </c>
      <c r="L28" s="11"/>
      <c r="M28" s="11"/>
      <c r="N28" s="124"/>
      <c r="O28" s="125"/>
    </row>
    <row r="29" spans="1:15">
      <c r="A29" s="15" t="s">
        <v>145</v>
      </c>
      <c r="B29" s="25" t="s">
        <v>85</v>
      </c>
      <c r="C29" s="39">
        <v>1713</v>
      </c>
      <c r="D29" s="9">
        <v>41413</v>
      </c>
      <c r="E29" s="12" t="s">
        <v>149</v>
      </c>
      <c r="F29" s="12" t="s">
        <v>24</v>
      </c>
      <c r="G29" s="10">
        <v>3736.01</v>
      </c>
      <c r="H29" s="10">
        <v>2591.86</v>
      </c>
      <c r="I29" s="10">
        <v>233500.33</v>
      </c>
      <c r="J29" s="62">
        <v>0.5</v>
      </c>
      <c r="L29" s="123" t="str">
        <f>E29</f>
        <v>LUCIA</v>
      </c>
      <c r="M29" s="123" t="s">
        <v>315</v>
      </c>
      <c r="N29" s="124">
        <f>SUM(I29:I36)</f>
        <v>7965308.6400000006</v>
      </c>
      <c r="O29" s="125">
        <f>SUM(J29:J36)</f>
        <v>17</v>
      </c>
    </row>
    <row r="30" spans="1:15">
      <c r="A30" s="15" t="s">
        <v>124</v>
      </c>
      <c r="B30" s="25" t="s">
        <v>85</v>
      </c>
      <c r="C30" s="42" t="s">
        <v>234</v>
      </c>
      <c r="D30" s="9">
        <v>41343</v>
      </c>
      <c r="E30" s="12" t="s">
        <v>196</v>
      </c>
      <c r="F30" s="12" t="s">
        <v>24</v>
      </c>
      <c r="G30" s="10">
        <v>160394.93</v>
      </c>
      <c r="H30" s="10"/>
      <c r="I30" s="10">
        <v>5918632.2400000002</v>
      </c>
      <c r="J30" s="62">
        <v>12</v>
      </c>
      <c r="L30" s="11"/>
      <c r="M30" s="11"/>
      <c r="N30" s="124"/>
      <c r="O30" s="125"/>
    </row>
    <row r="31" spans="1:15">
      <c r="A31" s="15" t="s">
        <v>53</v>
      </c>
      <c r="B31" s="25" t="s">
        <v>82</v>
      </c>
      <c r="C31" s="42">
        <v>52</v>
      </c>
      <c r="D31" s="9">
        <v>41376</v>
      </c>
      <c r="E31" s="12" t="s">
        <v>196</v>
      </c>
      <c r="F31" s="12" t="s">
        <v>24</v>
      </c>
      <c r="G31" s="10">
        <f>I31*1.6%</f>
        <v>9814.4</v>
      </c>
      <c r="H31" s="10"/>
      <c r="I31" s="10">
        <v>613400</v>
      </c>
      <c r="J31" s="62">
        <v>1</v>
      </c>
      <c r="L31" s="11"/>
      <c r="M31" s="11"/>
      <c r="N31" s="124"/>
      <c r="O31" s="125"/>
    </row>
    <row r="32" spans="1:15">
      <c r="A32" s="15" t="s">
        <v>195</v>
      </c>
      <c r="B32" s="25" t="s">
        <v>117</v>
      </c>
      <c r="C32" s="42">
        <v>44</v>
      </c>
      <c r="D32" s="9">
        <v>41417</v>
      </c>
      <c r="E32" s="12" t="s">
        <v>196</v>
      </c>
      <c r="F32" s="12" t="s">
        <v>24</v>
      </c>
      <c r="G32" s="10">
        <v>3216.44</v>
      </c>
      <c r="H32" s="10">
        <v>0</v>
      </c>
      <c r="I32" s="10">
        <v>95500</v>
      </c>
      <c r="J32" s="62">
        <v>0.5</v>
      </c>
      <c r="L32" s="11"/>
      <c r="M32" s="11"/>
      <c r="N32" s="124"/>
      <c r="O32" s="125"/>
    </row>
    <row r="33" spans="1:15">
      <c r="A33" s="15" t="s">
        <v>195</v>
      </c>
      <c r="B33" s="25" t="s">
        <v>136</v>
      </c>
      <c r="C33" s="42">
        <v>126</v>
      </c>
      <c r="D33" s="9">
        <v>41425</v>
      </c>
      <c r="E33" s="12" t="s">
        <v>196</v>
      </c>
      <c r="F33" s="12" t="s">
        <v>24</v>
      </c>
      <c r="G33" s="10">
        <v>2400</v>
      </c>
      <c r="H33" s="10">
        <v>0</v>
      </c>
      <c r="I33" s="10">
        <v>120000</v>
      </c>
      <c r="J33" s="62">
        <v>0.5</v>
      </c>
      <c r="L33" s="11"/>
      <c r="M33" s="11"/>
      <c r="N33" s="124"/>
      <c r="O33" s="125"/>
    </row>
    <row r="34" spans="1:15">
      <c r="A34" s="15" t="s">
        <v>145</v>
      </c>
      <c r="B34" s="25" t="s">
        <v>85</v>
      </c>
      <c r="C34" s="39">
        <v>1007</v>
      </c>
      <c r="D34" s="9">
        <v>41413</v>
      </c>
      <c r="E34" s="12" t="s">
        <v>196</v>
      </c>
      <c r="F34" s="12" t="s">
        <v>24</v>
      </c>
      <c r="G34" s="10">
        <v>5725.94</v>
      </c>
      <c r="H34" s="10">
        <v>3972.37</v>
      </c>
      <c r="I34" s="10">
        <v>357871.3</v>
      </c>
      <c r="J34" s="62">
        <v>1</v>
      </c>
      <c r="L34" s="11"/>
      <c r="M34" s="11"/>
      <c r="N34" s="124"/>
      <c r="O34" s="125"/>
    </row>
    <row r="35" spans="1:15">
      <c r="A35" s="15" t="s">
        <v>145</v>
      </c>
      <c r="B35" s="25" t="s">
        <v>85</v>
      </c>
      <c r="C35" s="39">
        <v>1306</v>
      </c>
      <c r="D35" s="9">
        <v>41414</v>
      </c>
      <c r="E35" s="12" t="s">
        <v>196</v>
      </c>
      <c r="F35" s="12" t="s">
        <v>24</v>
      </c>
      <c r="G35" s="10">
        <v>6127.68</v>
      </c>
      <c r="H35" s="10">
        <v>4251.08</v>
      </c>
      <c r="I35" s="10">
        <v>382979.77</v>
      </c>
      <c r="J35" s="62">
        <v>1</v>
      </c>
      <c r="L35" s="11"/>
      <c r="M35" s="11"/>
      <c r="N35" s="124"/>
      <c r="O35" s="125"/>
    </row>
    <row r="36" spans="1:15">
      <c r="A36" s="15" t="s">
        <v>270</v>
      </c>
      <c r="B36" s="25" t="s">
        <v>271</v>
      </c>
      <c r="C36" s="39">
        <v>2</v>
      </c>
      <c r="D36" s="9">
        <v>41455</v>
      </c>
      <c r="E36" s="12" t="s">
        <v>196</v>
      </c>
      <c r="F36" s="12" t="s">
        <v>24</v>
      </c>
      <c r="G36" s="10">
        <v>3894.8</v>
      </c>
      <c r="H36" s="10">
        <v>1971.74</v>
      </c>
      <c r="I36" s="10">
        <v>243425</v>
      </c>
      <c r="J36" s="34">
        <v>0.5</v>
      </c>
      <c r="L36" s="11"/>
      <c r="M36" s="11"/>
      <c r="N36" s="124"/>
      <c r="O36" s="125"/>
    </row>
    <row r="37" spans="1:15">
      <c r="A37" s="15" t="s">
        <v>57</v>
      </c>
      <c r="B37" s="25" t="s">
        <v>226</v>
      </c>
      <c r="C37" s="39">
        <v>185</v>
      </c>
      <c r="D37" s="12">
        <v>41287</v>
      </c>
      <c r="E37" s="12" t="s">
        <v>16</v>
      </c>
      <c r="F37" s="12" t="s">
        <v>24</v>
      </c>
      <c r="G37" s="10">
        <v>5220</v>
      </c>
      <c r="H37" s="10">
        <f>6551.1-G37</f>
        <v>1331.1000000000004</v>
      </c>
      <c r="I37" s="10">
        <v>261000</v>
      </c>
      <c r="J37" s="34">
        <v>1</v>
      </c>
      <c r="L37" s="123" t="str">
        <f>E37</f>
        <v>MATHEUS</v>
      </c>
      <c r="M37" s="123" t="s">
        <v>25</v>
      </c>
      <c r="N37" s="124">
        <f>SUM(I37:I42)</f>
        <v>1790918.96</v>
      </c>
      <c r="O37" s="125">
        <f>SUM(J37:J42)</f>
        <v>5.5</v>
      </c>
    </row>
    <row r="38" spans="1:15">
      <c r="A38" s="15" t="s">
        <v>57</v>
      </c>
      <c r="B38" s="25" t="s">
        <v>226</v>
      </c>
      <c r="C38" s="39">
        <v>113</v>
      </c>
      <c r="D38" s="12">
        <v>41298</v>
      </c>
      <c r="E38" s="12" t="s">
        <v>16</v>
      </c>
      <c r="F38" s="12" t="s">
        <v>24</v>
      </c>
      <c r="G38" s="10">
        <v>4822.46</v>
      </c>
      <c r="H38" s="10">
        <v>0</v>
      </c>
      <c r="I38" s="10">
        <v>241123</v>
      </c>
      <c r="J38" s="34">
        <v>1</v>
      </c>
      <c r="L38" s="11"/>
      <c r="M38" s="11"/>
      <c r="N38" s="124"/>
      <c r="O38" s="125"/>
    </row>
    <row r="39" spans="1:15">
      <c r="A39" s="15" t="s">
        <v>57</v>
      </c>
      <c r="B39" s="25" t="s">
        <v>88</v>
      </c>
      <c r="C39" s="42">
        <v>158</v>
      </c>
      <c r="D39" s="9">
        <v>41319</v>
      </c>
      <c r="E39" s="12" t="s">
        <v>16</v>
      </c>
      <c r="F39" s="12" t="s">
        <v>24</v>
      </c>
      <c r="G39" s="10">
        <f>I39*2%</f>
        <v>4400</v>
      </c>
      <c r="H39" s="10">
        <f>I39*1.11%</f>
        <v>2442</v>
      </c>
      <c r="I39" s="10">
        <v>220000</v>
      </c>
      <c r="J39" s="34">
        <v>1</v>
      </c>
      <c r="L39" s="11"/>
      <c r="M39" s="11"/>
      <c r="N39" s="124"/>
      <c r="O39" s="125"/>
    </row>
    <row r="40" spans="1:15">
      <c r="A40" s="15" t="s">
        <v>53</v>
      </c>
      <c r="B40" s="25" t="s">
        <v>225</v>
      </c>
      <c r="C40" s="42">
        <v>65</v>
      </c>
      <c r="D40" s="9">
        <v>41350</v>
      </c>
      <c r="E40" s="12" t="s">
        <v>60</v>
      </c>
      <c r="F40" s="12" t="s">
        <v>24</v>
      </c>
      <c r="G40" s="10">
        <f>I40*1.6%</f>
        <v>8080</v>
      </c>
      <c r="H40" s="10"/>
      <c r="I40" s="10">
        <v>505000</v>
      </c>
      <c r="J40" s="34">
        <v>1</v>
      </c>
      <c r="L40" s="11"/>
      <c r="M40" s="11"/>
      <c r="N40" s="124"/>
      <c r="O40" s="125"/>
    </row>
    <row r="41" spans="1:15">
      <c r="A41" s="15" t="s">
        <v>145</v>
      </c>
      <c r="B41" s="25" t="s">
        <v>85</v>
      </c>
      <c r="C41" s="39">
        <v>1401</v>
      </c>
      <c r="D41" s="9">
        <v>41407</v>
      </c>
      <c r="E41" s="12" t="s">
        <v>60</v>
      </c>
      <c r="F41" s="12" t="s">
        <v>24</v>
      </c>
      <c r="G41" s="10">
        <v>5921.86</v>
      </c>
      <c r="H41" s="10">
        <v>4108.29</v>
      </c>
      <c r="I41" s="10">
        <v>370115.96</v>
      </c>
      <c r="J41" s="62">
        <v>1</v>
      </c>
      <c r="L41" s="11"/>
      <c r="M41" s="11"/>
      <c r="N41" s="124"/>
      <c r="O41" s="125"/>
    </row>
    <row r="42" spans="1:15">
      <c r="A42" s="15" t="s">
        <v>124</v>
      </c>
      <c r="B42" s="25" t="s">
        <v>85</v>
      </c>
      <c r="C42" s="42">
        <v>312</v>
      </c>
      <c r="D42" s="9">
        <v>41343</v>
      </c>
      <c r="E42" s="12" t="s">
        <v>257</v>
      </c>
      <c r="F42" s="12" t="s">
        <v>24</v>
      </c>
      <c r="G42" s="10">
        <v>5248.73</v>
      </c>
      <c r="H42" s="10"/>
      <c r="I42" s="10">
        <v>193680</v>
      </c>
      <c r="J42" s="62">
        <v>0.5</v>
      </c>
      <c r="L42" s="11"/>
      <c r="M42" s="11"/>
      <c r="N42" s="124"/>
      <c r="O42" s="125"/>
    </row>
    <row r="43" spans="1:15">
      <c r="A43" s="15" t="s">
        <v>145</v>
      </c>
      <c r="B43" s="25" t="s">
        <v>85</v>
      </c>
      <c r="C43" s="42">
        <v>516</v>
      </c>
      <c r="D43" s="9">
        <v>41425</v>
      </c>
      <c r="E43" s="12" t="s">
        <v>172</v>
      </c>
      <c r="F43" s="12" t="s">
        <v>24</v>
      </c>
      <c r="G43" s="10">
        <v>6114.01</v>
      </c>
      <c r="H43" s="10">
        <v>4241.6000000000004</v>
      </c>
      <c r="I43" s="10">
        <v>382125.78</v>
      </c>
      <c r="J43" s="62">
        <v>1</v>
      </c>
      <c r="L43" s="123" t="str">
        <f>E43</f>
        <v>OLAVO</v>
      </c>
      <c r="M43" s="123" t="s">
        <v>25</v>
      </c>
      <c r="N43" s="124">
        <f>SUM(I43:I46)</f>
        <v>1634908.04</v>
      </c>
      <c r="O43" s="125">
        <f>SUM(J43:J46)</f>
        <v>4</v>
      </c>
    </row>
    <row r="44" spans="1:15">
      <c r="A44" s="15" t="s">
        <v>145</v>
      </c>
      <c r="B44" s="25" t="s">
        <v>85</v>
      </c>
      <c r="C44" s="42">
        <v>903</v>
      </c>
      <c r="D44" s="9">
        <v>41413</v>
      </c>
      <c r="E44" s="12" t="s">
        <v>172</v>
      </c>
      <c r="F44" s="12" t="s">
        <v>24</v>
      </c>
      <c r="G44" s="10">
        <v>5894.4</v>
      </c>
      <c r="H44" s="10">
        <v>4089.24</v>
      </c>
      <c r="I44" s="10">
        <v>368400</v>
      </c>
      <c r="J44" s="62">
        <v>1</v>
      </c>
      <c r="L44" s="11"/>
      <c r="M44" s="11"/>
      <c r="N44" s="124"/>
      <c r="O44" s="125"/>
    </row>
    <row r="45" spans="1:15">
      <c r="A45" s="15" t="s">
        <v>145</v>
      </c>
      <c r="B45" s="25" t="s">
        <v>85</v>
      </c>
      <c r="C45" s="42">
        <v>515</v>
      </c>
      <c r="D45" s="9">
        <v>41424</v>
      </c>
      <c r="E45" s="12" t="s">
        <v>172</v>
      </c>
      <c r="F45" s="12" t="s">
        <v>24</v>
      </c>
      <c r="G45" s="10">
        <v>6114.01</v>
      </c>
      <c r="H45" s="10">
        <v>4241.6000000000004</v>
      </c>
      <c r="I45" s="10">
        <v>382125.78</v>
      </c>
      <c r="J45" s="62">
        <v>1</v>
      </c>
      <c r="L45" s="11"/>
      <c r="M45" s="11"/>
      <c r="N45" s="124"/>
      <c r="O45" s="125"/>
    </row>
    <row r="46" spans="1:15">
      <c r="A46" s="15" t="s">
        <v>120</v>
      </c>
      <c r="B46" s="25" t="s">
        <v>113</v>
      </c>
      <c r="C46" s="39">
        <v>78</v>
      </c>
      <c r="D46" s="12">
        <v>41329</v>
      </c>
      <c r="E46" s="12" t="s">
        <v>50</v>
      </c>
      <c r="F46" s="12" t="s">
        <v>24</v>
      </c>
      <c r="G46" s="10">
        <v>8036.1</v>
      </c>
      <c r="H46" s="10">
        <v>0</v>
      </c>
      <c r="I46" s="10">
        <v>502256.48</v>
      </c>
      <c r="J46" s="34">
        <v>1</v>
      </c>
      <c r="L46" s="11"/>
      <c r="M46" s="11"/>
      <c r="N46" s="124"/>
      <c r="O46" s="125"/>
    </row>
    <row r="47" spans="1:15">
      <c r="A47" s="15" t="s">
        <v>53</v>
      </c>
      <c r="B47" s="25" t="s">
        <v>201</v>
      </c>
      <c r="C47" s="42" t="s">
        <v>238</v>
      </c>
      <c r="D47" s="9">
        <v>41336</v>
      </c>
      <c r="E47" s="12" t="s">
        <v>50</v>
      </c>
      <c r="F47" s="12" t="s">
        <v>24</v>
      </c>
      <c r="G47" s="10">
        <f>I47*1.6%</f>
        <v>503.08800000000002</v>
      </c>
      <c r="H47" s="10"/>
      <c r="I47" s="10">
        <v>31443</v>
      </c>
      <c r="J47" s="34">
        <v>1</v>
      </c>
      <c r="L47" s="123" t="str">
        <f>E47</f>
        <v>SARAIVA</v>
      </c>
      <c r="M47" s="123" t="s">
        <v>79</v>
      </c>
      <c r="N47" s="124">
        <f>SUM(I47:I48)</f>
        <v>414107.01</v>
      </c>
      <c r="O47" s="125">
        <f>SUM(J47:J48)</f>
        <v>2</v>
      </c>
    </row>
    <row r="48" spans="1:15">
      <c r="A48" s="15" t="s">
        <v>145</v>
      </c>
      <c r="B48" s="25" t="s">
        <v>85</v>
      </c>
      <c r="C48" s="39">
        <v>1402</v>
      </c>
      <c r="D48" s="9">
        <v>41413</v>
      </c>
      <c r="E48" s="12" t="s">
        <v>50</v>
      </c>
      <c r="F48" s="12" t="s">
        <v>24</v>
      </c>
      <c r="G48" s="10">
        <v>6122.62</v>
      </c>
      <c r="H48" s="10">
        <v>4247.57</v>
      </c>
      <c r="I48" s="10">
        <v>382664.01</v>
      </c>
      <c r="J48" s="62">
        <v>1</v>
      </c>
      <c r="L48" s="11"/>
      <c r="M48" s="11"/>
      <c r="N48" s="124"/>
      <c r="O48" s="125"/>
    </row>
    <row r="49" spans="1:15">
      <c r="A49" s="15" t="s">
        <v>124</v>
      </c>
      <c r="B49" s="25" t="s">
        <v>85</v>
      </c>
      <c r="C49" s="42" t="s">
        <v>240</v>
      </c>
      <c r="D49" s="9">
        <v>41343</v>
      </c>
      <c r="E49" s="12" t="s">
        <v>312</v>
      </c>
      <c r="F49" s="12" t="s">
        <v>24</v>
      </c>
      <c r="G49" s="10">
        <v>38995.24</v>
      </c>
      <c r="H49" s="10"/>
      <c r="I49" s="10">
        <v>1438921</v>
      </c>
      <c r="J49" s="62">
        <v>3</v>
      </c>
      <c r="L49" s="123" t="str">
        <f>E49</f>
        <v>TATYANA</v>
      </c>
      <c r="M49" s="123" t="s">
        <v>25</v>
      </c>
      <c r="N49" s="124">
        <f>SUM(I49:I61)</f>
        <v>6618066.6600000001</v>
      </c>
      <c r="O49" s="125">
        <f>SUM(J49:J61)</f>
        <v>14.5</v>
      </c>
    </row>
    <row r="50" spans="1:15">
      <c r="A50" s="15" t="s">
        <v>195</v>
      </c>
      <c r="B50" s="25" t="s">
        <v>117</v>
      </c>
      <c r="C50" s="42">
        <v>44</v>
      </c>
      <c r="D50" s="9">
        <v>41417</v>
      </c>
      <c r="E50" s="12" t="s">
        <v>200</v>
      </c>
      <c r="F50" s="12" t="s">
        <v>24</v>
      </c>
      <c r="G50" s="10">
        <v>3216.44</v>
      </c>
      <c r="H50" s="10">
        <v>0</v>
      </c>
      <c r="I50" s="10">
        <v>95500</v>
      </c>
      <c r="J50" s="62">
        <v>0.5</v>
      </c>
      <c r="L50" s="11"/>
      <c r="M50" s="11"/>
      <c r="N50" s="124"/>
      <c r="O50" s="125"/>
    </row>
    <row r="51" spans="1:15">
      <c r="A51" s="15" t="s">
        <v>191</v>
      </c>
      <c r="B51" s="25" t="s">
        <v>136</v>
      </c>
      <c r="C51" s="42">
        <v>126</v>
      </c>
      <c r="D51" s="9">
        <v>41425</v>
      </c>
      <c r="E51" s="12" t="s">
        <v>200</v>
      </c>
      <c r="F51" s="12" t="s">
        <v>24</v>
      </c>
      <c r="G51" s="10">
        <v>2400</v>
      </c>
      <c r="H51" s="10">
        <v>0</v>
      </c>
      <c r="I51" s="10">
        <v>120000</v>
      </c>
      <c r="J51" s="62">
        <v>0.5</v>
      </c>
      <c r="L51" s="11"/>
      <c r="M51" s="11"/>
      <c r="N51" s="124"/>
      <c r="O51" s="125"/>
    </row>
    <row r="52" spans="1:15">
      <c r="A52" s="15" t="s">
        <v>209</v>
      </c>
      <c r="B52" s="25" t="s">
        <v>215</v>
      </c>
      <c r="C52" s="42">
        <v>144</v>
      </c>
      <c r="D52" s="9">
        <v>41390</v>
      </c>
      <c r="E52" s="12" t="s">
        <v>106</v>
      </c>
      <c r="F52" s="12" t="s">
        <v>24</v>
      </c>
      <c r="G52" s="10">
        <v>4000</v>
      </c>
      <c r="H52" s="10"/>
      <c r="I52" s="10">
        <v>200000</v>
      </c>
      <c r="J52" s="62">
        <v>1</v>
      </c>
      <c r="L52" s="11"/>
      <c r="M52" s="11"/>
      <c r="N52" s="124"/>
      <c r="O52" s="125"/>
    </row>
    <row r="53" spans="1:15">
      <c r="A53" s="15" t="s">
        <v>208</v>
      </c>
      <c r="B53" s="25" t="s">
        <v>226</v>
      </c>
      <c r="C53" s="39">
        <v>163</v>
      </c>
      <c r="D53" s="9">
        <v>41448</v>
      </c>
      <c r="E53" s="12" t="s">
        <v>262</v>
      </c>
      <c r="F53" s="12" t="s">
        <v>24</v>
      </c>
      <c r="G53" s="10">
        <v>4836.8</v>
      </c>
      <c r="H53" s="10">
        <v>0</v>
      </c>
      <c r="I53" s="10">
        <v>241840</v>
      </c>
      <c r="J53" s="62">
        <v>1</v>
      </c>
      <c r="L53" s="11"/>
      <c r="M53" s="11"/>
      <c r="N53" s="124"/>
      <c r="O53" s="125"/>
    </row>
    <row r="54" spans="1:15">
      <c r="A54" s="15" t="s">
        <v>124</v>
      </c>
      <c r="B54" s="25" t="s">
        <v>85</v>
      </c>
      <c r="C54" s="42" t="s">
        <v>241</v>
      </c>
      <c r="D54" s="9">
        <v>41343</v>
      </c>
      <c r="E54" s="12" t="s">
        <v>72</v>
      </c>
      <c r="F54" s="12" t="s">
        <v>24</v>
      </c>
      <c r="G54" s="10">
        <f>13236.32+13236.32</f>
        <v>26472.639999999999</v>
      </c>
      <c r="H54" s="10"/>
      <c r="I54" s="10">
        <f>488425+488425</f>
        <v>976850</v>
      </c>
      <c r="J54" s="62">
        <v>2</v>
      </c>
      <c r="L54" s="11"/>
      <c r="M54" s="11"/>
      <c r="N54" s="124"/>
      <c r="O54" s="125"/>
    </row>
    <row r="55" spans="1:15">
      <c r="A55" s="15" t="s">
        <v>145</v>
      </c>
      <c r="B55" s="25" t="s">
        <v>85</v>
      </c>
      <c r="C55" s="39">
        <v>1005</v>
      </c>
      <c r="D55" s="9">
        <v>41406</v>
      </c>
      <c r="E55" s="12" t="s">
        <v>72</v>
      </c>
      <c r="F55" s="12" t="s">
        <v>24</v>
      </c>
      <c r="G55" s="10">
        <v>10175.200000000001</v>
      </c>
      <c r="H55" s="10">
        <v>7059.05</v>
      </c>
      <c r="I55" s="10">
        <v>635950</v>
      </c>
      <c r="J55" s="62">
        <v>1</v>
      </c>
      <c r="L55" s="11"/>
      <c r="M55" s="11"/>
      <c r="N55" s="124"/>
      <c r="O55" s="125"/>
    </row>
    <row r="56" spans="1:15">
      <c r="A56" s="15" t="s">
        <v>111</v>
      </c>
      <c r="B56" s="25" t="s">
        <v>112</v>
      </c>
      <c r="C56" s="39">
        <v>171</v>
      </c>
      <c r="D56" s="9">
        <v>41298</v>
      </c>
      <c r="E56" s="12" t="s">
        <v>34</v>
      </c>
      <c r="F56" s="12" t="s">
        <v>24</v>
      </c>
      <c r="G56" s="10">
        <v>16600</v>
      </c>
      <c r="H56" s="10">
        <v>0</v>
      </c>
      <c r="I56" s="10">
        <v>830000.22</v>
      </c>
      <c r="J56" s="34">
        <v>1</v>
      </c>
      <c r="L56" s="11"/>
      <c r="M56" s="11"/>
      <c r="N56" s="124"/>
      <c r="O56" s="125"/>
    </row>
    <row r="57" spans="1:15">
      <c r="A57" s="15" t="s">
        <v>191</v>
      </c>
      <c r="B57" s="25" t="s">
        <v>117</v>
      </c>
      <c r="C57" s="39">
        <v>131</v>
      </c>
      <c r="D57" s="9">
        <v>41444</v>
      </c>
      <c r="E57" s="12" t="s">
        <v>34</v>
      </c>
      <c r="F57" s="12" t="s">
        <v>24</v>
      </c>
      <c r="G57" s="10">
        <v>4560</v>
      </c>
      <c r="H57" s="10">
        <v>0</v>
      </c>
      <c r="I57" s="10">
        <v>228000</v>
      </c>
      <c r="J57" s="62">
        <v>1</v>
      </c>
      <c r="L57" s="11"/>
      <c r="M57" s="11"/>
      <c r="N57" s="124"/>
      <c r="O57" s="125"/>
    </row>
    <row r="58" spans="1:15">
      <c r="A58" s="15" t="s">
        <v>111</v>
      </c>
      <c r="B58" s="25" t="s">
        <v>112</v>
      </c>
      <c r="C58" s="42">
        <v>191</v>
      </c>
      <c r="D58" s="9">
        <v>41402</v>
      </c>
      <c r="E58" s="12" t="s">
        <v>203</v>
      </c>
      <c r="F58" s="12" t="s">
        <v>24</v>
      </c>
      <c r="G58" s="10">
        <f>I58*2%</f>
        <v>17600</v>
      </c>
      <c r="H58" s="10">
        <v>0</v>
      </c>
      <c r="I58" s="10">
        <v>880000</v>
      </c>
      <c r="J58" s="62">
        <v>1</v>
      </c>
      <c r="L58" s="11"/>
      <c r="M58" s="11"/>
      <c r="N58" s="124"/>
      <c r="O58" s="125"/>
    </row>
    <row r="59" spans="1:15">
      <c r="A59" s="15" t="s">
        <v>145</v>
      </c>
      <c r="B59" s="25" t="s">
        <v>85</v>
      </c>
      <c r="C59" s="39">
        <v>2114</v>
      </c>
      <c r="D59" s="9">
        <v>41407</v>
      </c>
      <c r="E59" s="12" t="s">
        <v>203</v>
      </c>
      <c r="F59" s="12" t="s">
        <v>24</v>
      </c>
      <c r="G59" s="10">
        <v>6333.85</v>
      </c>
      <c r="H59" s="10">
        <v>4394.1099999999997</v>
      </c>
      <c r="I59" s="10">
        <v>395865.44</v>
      </c>
      <c r="J59" s="62">
        <v>1</v>
      </c>
      <c r="L59" s="11"/>
      <c r="M59" s="11"/>
      <c r="N59" s="124"/>
      <c r="O59" s="125"/>
    </row>
    <row r="60" spans="1:15">
      <c r="A60" s="15" t="s">
        <v>145</v>
      </c>
      <c r="B60" s="25" t="s">
        <v>85</v>
      </c>
      <c r="C60" s="39">
        <v>1411</v>
      </c>
      <c r="D60" s="9">
        <v>41407</v>
      </c>
      <c r="E60" s="12" t="s">
        <v>152</v>
      </c>
      <c r="F60" s="12" t="s">
        <v>61</v>
      </c>
      <c r="G60" s="10">
        <v>5935.04</v>
      </c>
      <c r="H60" s="10">
        <v>2848.82</v>
      </c>
      <c r="I60" s="10">
        <v>370940</v>
      </c>
      <c r="J60" s="62">
        <v>1</v>
      </c>
      <c r="L60" s="11"/>
      <c r="M60" s="11"/>
      <c r="N60" s="124"/>
      <c r="O60" s="125"/>
    </row>
    <row r="61" spans="1:15">
      <c r="A61" s="15" t="s">
        <v>146</v>
      </c>
      <c r="B61" s="25" t="s">
        <v>85</v>
      </c>
      <c r="C61" s="42">
        <v>2610</v>
      </c>
      <c r="D61" s="9">
        <v>41430</v>
      </c>
      <c r="E61" s="12" t="s">
        <v>152</v>
      </c>
      <c r="F61" s="12" t="s">
        <v>61</v>
      </c>
      <c r="G61" s="10">
        <v>3267.2</v>
      </c>
      <c r="H61" s="10">
        <v>1188.44</v>
      </c>
      <c r="I61" s="10">
        <v>204200</v>
      </c>
      <c r="J61" s="62">
        <v>0.5</v>
      </c>
      <c r="L61" s="11"/>
      <c r="M61" s="11"/>
      <c r="N61" s="124"/>
      <c r="O61" s="125"/>
    </row>
    <row r="62" spans="1:15">
      <c r="A62" s="15" t="s">
        <v>145</v>
      </c>
      <c r="B62" s="25" t="s">
        <v>85</v>
      </c>
      <c r="C62" s="42">
        <v>1315</v>
      </c>
      <c r="D62" s="9">
        <v>41425</v>
      </c>
      <c r="E62" s="12" t="s">
        <v>179</v>
      </c>
      <c r="F62" s="12" t="s">
        <v>61</v>
      </c>
      <c r="G62" s="10">
        <v>5280</v>
      </c>
      <c r="H62" s="10">
        <v>3663</v>
      </c>
      <c r="I62" s="10">
        <v>330000</v>
      </c>
      <c r="J62" s="62">
        <v>1</v>
      </c>
      <c r="L62" s="123" t="str">
        <f>E62</f>
        <v>BENTO</v>
      </c>
      <c r="M62" s="123" t="s">
        <v>79</v>
      </c>
      <c r="N62" s="124">
        <f>SUM(I62:I70)</f>
        <v>3633497.42</v>
      </c>
      <c r="O62" s="125">
        <f>SUM(J62:J70)</f>
        <v>7.5</v>
      </c>
    </row>
    <row r="63" spans="1:15">
      <c r="A63" s="15" t="s">
        <v>145</v>
      </c>
      <c r="B63" s="25" t="s">
        <v>85</v>
      </c>
      <c r="C63" s="39">
        <v>815</v>
      </c>
      <c r="D63" s="12">
        <v>41455</v>
      </c>
      <c r="E63" s="12" t="s">
        <v>179</v>
      </c>
      <c r="F63" s="12" t="s">
        <v>61</v>
      </c>
      <c r="G63" s="10">
        <v>6102.4</v>
      </c>
      <c r="H63" s="10">
        <v>3592.79</v>
      </c>
      <c r="I63" s="10">
        <v>381400</v>
      </c>
      <c r="J63" s="62">
        <v>1</v>
      </c>
      <c r="L63" s="11"/>
      <c r="M63" s="11"/>
      <c r="N63" s="124"/>
      <c r="O63" s="125"/>
    </row>
    <row r="64" spans="1:15">
      <c r="A64" s="15" t="s">
        <v>270</v>
      </c>
      <c r="B64" s="25" t="s">
        <v>273</v>
      </c>
      <c r="C64" s="42">
        <v>26</v>
      </c>
      <c r="D64" s="9">
        <v>41451</v>
      </c>
      <c r="E64" s="12" t="s">
        <v>285</v>
      </c>
      <c r="F64" s="12" t="s">
        <v>61</v>
      </c>
      <c r="G64" s="10">
        <v>3605</v>
      </c>
      <c r="H64" s="10">
        <v>1825.03</v>
      </c>
      <c r="I64" s="10">
        <v>225312.27</v>
      </c>
      <c r="J64" s="62">
        <v>0.5</v>
      </c>
      <c r="L64" s="11"/>
      <c r="M64" s="11"/>
      <c r="N64" s="124"/>
      <c r="O64" s="125"/>
    </row>
    <row r="65" spans="1:15">
      <c r="A65" s="15" t="s">
        <v>270</v>
      </c>
      <c r="B65" s="25" t="s">
        <v>273</v>
      </c>
      <c r="C65" s="42">
        <v>48</v>
      </c>
      <c r="D65" s="9">
        <v>41450</v>
      </c>
      <c r="E65" s="12" t="s">
        <v>287</v>
      </c>
      <c r="F65" s="12" t="s">
        <v>61</v>
      </c>
      <c r="G65" s="10">
        <v>3072.84</v>
      </c>
      <c r="H65" s="10">
        <v>1555.62</v>
      </c>
      <c r="I65" s="10">
        <v>192052.43</v>
      </c>
      <c r="J65" s="62">
        <v>0.5</v>
      </c>
      <c r="L65" s="11"/>
      <c r="M65" s="11"/>
      <c r="N65" s="124"/>
      <c r="O65" s="125"/>
    </row>
    <row r="66" spans="1:15">
      <c r="A66" s="15" t="s">
        <v>270</v>
      </c>
      <c r="B66" s="25" t="s">
        <v>273</v>
      </c>
      <c r="C66" s="42">
        <v>28</v>
      </c>
      <c r="D66" s="9">
        <v>41450</v>
      </c>
      <c r="E66" s="12" t="s">
        <v>287</v>
      </c>
      <c r="F66" s="12" t="s">
        <v>61</v>
      </c>
      <c r="G66" s="10">
        <v>3011.69</v>
      </c>
      <c r="H66" s="10">
        <v>1524.67</v>
      </c>
      <c r="I66" s="10">
        <v>188230.72</v>
      </c>
      <c r="J66" s="62">
        <v>0.5</v>
      </c>
      <c r="L66" s="11"/>
      <c r="M66" s="11"/>
      <c r="N66" s="124"/>
      <c r="O66" s="125"/>
    </row>
    <row r="67" spans="1:15">
      <c r="A67" s="15" t="s">
        <v>208</v>
      </c>
      <c r="B67" s="25" t="s">
        <v>88</v>
      </c>
      <c r="C67" s="42">
        <v>182</v>
      </c>
      <c r="D67" s="9">
        <v>41394</v>
      </c>
      <c r="E67" s="12" t="s">
        <v>216</v>
      </c>
      <c r="F67" s="12" t="s">
        <v>61</v>
      </c>
      <c r="G67" s="10">
        <v>8235.2800000000007</v>
      </c>
      <c r="H67" s="10"/>
      <c r="I67" s="10">
        <v>264800</v>
      </c>
      <c r="J67" s="62">
        <v>1</v>
      </c>
      <c r="L67" s="11"/>
      <c r="M67" s="11"/>
      <c r="N67" s="124"/>
      <c r="O67" s="125"/>
    </row>
    <row r="68" spans="1:15">
      <c r="A68" s="15" t="s">
        <v>270</v>
      </c>
      <c r="B68" s="25" t="s">
        <v>271</v>
      </c>
      <c r="C68" s="42">
        <v>18</v>
      </c>
      <c r="D68" s="9">
        <v>41455</v>
      </c>
      <c r="E68" s="12" t="s">
        <v>291</v>
      </c>
      <c r="F68" s="12" t="s">
        <v>61</v>
      </c>
      <c r="G68" s="10">
        <v>6011.23</v>
      </c>
      <c r="H68" s="10">
        <v>3043.19</v>
      </c>
      <c r="I68" s="10">
        <v>375702</v>
      </c>
      <c r="J68" s="62">
        <v>1</v>
      </c>
      <c r="L68" s="11"/>
      <c r="M68" s="11"/>
      <c r="N68" s="124"/>
      <c r="O68" s="125"/>
    </row>
    <row r="69" spans="1:15">
      <c r="A69" s="15" t="s">
        <v>54</v>
      </c>
      <c r="B69" s="25" t="s">
        <v>58</v>
      </c>
      <c r="C69" s="42">
        <v>184</v>
      </c>
      <c r="D69" s="9">
        <v>41348</v>
      </c>
      <c r="E69" s="12" t="s">
        <v>40</v>
      </c>
      <c r="F69" s="12" t="s">
        <v>61</v>
      </c>
      <c r="G69" s="10">
        <f>I69*2%</f>
        <v>17520</v>
      </c>
      <c r="H69" s="10"/>
      <c r="I69" s="10">
        <v>876000</v>
      </c>
      <c r="J69" s="34">
        <v>1</v>
      </c>
      <c r="L69" s="11"/>
      <c r="M69" s="11"/>
      <c r="N69" s="124"/>
      <c r="O69" s="125"/>
    </row>
    <row r="70" spans="1:15">
      <c r="A70" s="15" t="s">
        <v>54</v>
      </c>
      <c r="B70" s="25" t="s">
        <v>121</v>
      </c>
      <c r="C70" s="42">
        <v>141</v>
      </c>
      <c r="D70" s="9">
        <v>41361</v>
      </c>
      <c r="E70" s="12" t="s">
        <v>40</v>
      </c>
      <c r="F70" s="12" t="s">
        <v>61</v>
      </c>
      <c r="G70" s="10">
        <f>I70*2%</f>
        <v>16000</v>
      </c>
      <c r="H70" s="10"/>
      <c r="I70" s="10">
        <v>800000</v>
      </c>
      <c r="J70" s="34">
        <v>1</v>
      </c>
      <c r="L70" s="11"/>
      <c r="M70" s="11"/>
      <c r="N70" s="124"/>
      <c r="O70" s="125"/>
    </row>
    <row r="71" spans="1:15">
      <c r="A71" s="15" t="s">
        <v>54</v>
      </c>
      <c r="B71" s="25" t="s">
        <v>58</v>
      </c>
      <c r="C71" s="39">
        <v>201</v>
      </c>
      <c r="D71" s="9">
        <v>41387</v>
      </c>
      <c r="E71" s="12" t="s">
        <v>192</v>
      </c>
      <c r="F71" s="12" t="s">
        <v>61</v>
      </c>
      <c r="G71" s="10">
        <v>17600</v>
      </c>
      <c r="H71" s="10"/>
      <c r="I71" s="10">
        <v>880000</v>
      </c>
      <c r="J71" s="62">
        <v>1</v>
      </c>
      <c r="L71" s="123" t="str">
        <f>E71</f>
        <v xml:space="preserve">FARIA </v>
      </c>
      <c r="M71" s="123" t="s">
        <v>79</v>
      </c>
      <c r="N71" s="124">
        <f>I71</f>
        <v>880000</v>
      </c>
      <c r="O71" s="125">
        <v>0.5</v>
      </c>
    </row>
    <row r="72" spans="1:15">
      <c r="A72" s="15" t="s">
        <v>111</v>
      </c>
      <c r="B72" s="25" t="s">
        <v>112</v>
      </c>
      <c r="C72" s="42">
        <v>211</v>
      </c>
      <c r="D72" s="9">
        <v>41396</v>
      </c>
      <c r="E72" s="12" t="s">
        <v>192</v>
      </c>
      <c r="F72" s="12" t="s">
        <v>61</v>
      </c>
      <c r="G72" s="10">
        <f>I72*2%</f>
        <v>17000</v>
      </c>
      <c r="H72" s="10">
        <v>0</v>
      </c>
      <c r="I72" s="10">
        <f>850000</f>
        <v>850000</v>
      </c>
      <c r="J72" s="62">
        <v>1</v>
      </c>
      <c r="L72" s="123" t="str">
        <f>E72</f>
        <v xml:space="preserve">FARIA </v>
      </c>
      <c r="M72" s="123" t="s">
        <v>26</v>
      </c>
      <c r="N72" s="124">
        <f>SUM(I72:I73)</f>
        <v>1700000</v>
      </c>
      <c r="O72" s="125">
        <f>SUM(J72:J73)</f>
        <v>2</v>
      </c>
    </row>
    <row r="73" spans="1:15">
      <c r="A73" s="15" t="s">
        <v>111</v>
      </c>
      <c r="B73" s="25" t="s">
        <v>112</v>
      </c>
      <c r="C73" s="42">
        <v>211</v>
      </c>
      <c r="D73" s="9">
        <v>41396</v>
      </c>
      <c r="E73" s="12" t="s">
        <v>192</v>
      </c>
      <c r="F73" s="12" t="s">
        <v>61</v>
      </c>
      <c r="G73" s="90">
        <f>I73*2%</f>
        <v>17000</v>
      </c>
      <c r="H73" s="10">
        <v>0</v>
      </c>
      <c r="I73" s="10">
        <f>850000</f>
        <v>850000</v>
      </c>
      <c r="J73" s="62">
        <v>1</v>
      </c>
      <c r="L73" s="11"/>
      <c r="M73" s="11"/>
      <c r="N73" s="124"/>
      <c r="O73" s="125"/>
    </row>
    <row r="74" spans="1:15">
      <c r="A74" s="15" t="s">
        <v>145</v>
      </c>
      <c r="B74" s="25" t="s">
        <v>85</v>
      </c>
      <c r="C74" s="42">
        <v>311</v>
      </c>
      <c r="D74" s="9">
        <v>41417</v>
      </c>
      <c r="E74" s="12" t="s">
        <v>153</v>
      </c>
      <c r="F74" s="12" t="s">
        <v>61</v>
      </c>
      <c r="G74" s="10">
        <v>3199.8</v>
      </c>
      <c r="H74" s="10">
        <v>2219.86</v>
      </c>
      <c r="I74" s="10">
        <v>145000</v>
      </c>
      <c r="J74" s="62">
        <v>0.5</v>
      </c>
      <c r="L74" s="123" t="str">
        <f>E74</f>
        <v>GLASER</v>
      </c>
      <c r="M74" s="123" t="s">
        <v>27</v>
      </c>
      <c r="N74" s="124">
        <f>SUM(I74:I77)</f>
        <v>1212615.32</v>
      </c>
      <c r="O74" s="125">
        <f>SUM(J74:J77)</f>
        <v>3</v>
      </c>
    </row>
    <row r="75" spans="1:15">
      <c r="A75" s="15" t="s">
        <v>145</v>
      </c>
      <c r="B75" s="25" t="s">
        <v>85</v>
      </c>
      <c r="C75" s="39">
        <v>1009</v>
      </c>
      <c r="D75" s="9">
        <v>41413</v>
      </c>
      <c r="E75" s="12" t="s">
        <v>153</v>
      </c>
      <c r="F75" s="12" t="s">
        <v>61</v>
      </c>
      <c r="G75" s="10">
        <v>7511.54</v>
      </c>
      <c r="H75" s="10">
        <v>5211.13</v>
      </c>
      <c r="I75" s="10">
        <v>469471.28</v>
      </c>
      <c r="J75" s="62">
        <v>1</v>
      </c>
      <c r="L75" s="11"/>
      <c r="M75" s="11"/>
      <c r="N75" s="124"/>
      <c r="O75" s="125"/>
    </row>
    <row r="76" spans="1:15">
      <c r="A76" s="15" t="s">
        <v>145</v>
      </c>
      <c r="B76" s="25" t="s">
        <v>85</v>
      </c>
      <c r="C76" s="39">
        <v>1307</v>
      </c>
      <c r="D76" s="9">
        <v>41413</v>
      </c>
      <c r="E76" s="12" t="s">
        <v>153</v>
      </c>
      <c r="F76" s="12" t="s">
        <v>61</v>
      </c>
      <c r="G76" s="10">
        <v>6303.1</v>
      </c>
      <c r="H76" s="10">
        <v>4372.78</v>
      </c>
      <c r="I76" s="10">
        <v>393944.04</v>
      </c>
      <c r="J76" s="62">
        <v>1</v>
      </c>
      <c r="L76" s="11"/>
      <c r="M76" s="11"/>
      <c r="N76" s="124"/>
      <c r="O76" s="125"/>
    </row>
    <row r="77" spans="1:15">
      <c r="A77" s="15" t="s">
        <v>146</v>
      </c>
      <c r="B77" s="25" t="s">
        <v>85</v>
      </c>
      <c r="C77" s="42">
        <v>2610</v>
      </c>
      <c r="D77" s="9">
        <v>41430</v>
      </c>
      <c r="E77" s="12" t="s">
        <v>180</v>
      </c>
      <c r="F77" s="12" t="s">
        <v>61</v>
      </c>
      <c r="G77" s="10">
        <v>3267.2</v>
      </c>
      <c r="H77" s="10">
        <v>1188.44</v>
      </c>
      <c r="I77" s="10">
        <v>204200</v>
      </c>
      <c r="J77" s="62">
        <v>0.5</v>
      </c>
      <c r="L77" s="11"/>
      <c r="M77" s="11"/>
      <c r="N77" s="124"/>
      <c r="O77" s="125"/>
    </row>
    <row r="78" spans="1:15">
      <c r="A78" s="15" t="s">
        <v>145</v>
      </c>
      <c r="B78" s="25" t="s">
        <v>85</v>
      </c>
      <c r="C78" s="39">
        <v>810</v>
      </c>
      <c r="D78" s="9">
        <v>41413</v>
      </c>
      <c r="E78" s="12" t="s">
        <v>154</v>
      </c>
      <c r="F78" s="12" t="s">
        <v>61</v>
      </c>
      <c r="G78" s="10">
        <v>5273.6</v>
      </c>
      <c r="H78" s="10">
        <v>3005.95</v>
      </c>
      <c r="I78" s="10">
        <v>329600</v>
      </c>
      <c r="J78" s="62">
        <v>1</v>
      </c>
      <c r="L78" s="123" t="str">
        <f>E78</f>
        <v>JOAL</v>
      </c>
      <c r="M78" s="123" t="s">
        <v>61</v>
      </c>
      <c r="N78" s="124">
        <f>I78</f>
        <v>329600</v>
      </c>
      <c r="O78" s="125">
        <v>0.5</v>
      </c>
    </row>
    <row r="79" spans="1:15">
      <c r="A79" s="15" t="s">
        <v>145</v>
      </c>
      <c r="B79" s="25" t="s">
        <v>85</v>
      </c>
      <c r="C79" s="39">
        <v>811</v>
      </c>
      <c r="D79" s="9">
        <v>41413</v>
      </c>
      <c r="E79" s="12" t="s">
        <v>154</v>
      </c>
      <c r="F79" s="12" t="s">
        <v>61</v>
      </c>
      <c r="G79" s="10">
        <v>5273.6</v>
      </c>
      <c r="H79" s="10">
        <v>3005.95</v>
      </c>
      <c r="I79" s="10">
        <v>329600</v>
      </c>
      <c r="J79" s="62">
        <v>1</v>
      </c>
      <c r="L79" s="123" t="str">
        <f>E79</f>
        <v>JOAL</v>
      </c>
      <c r="M79" s="123" t="s">
        <v>24</v>
      </c>
      <c r="N79" s="124">
        <f>SUM(I79:I82)</f>
        <v>744795.18</v>
      </c>
      <c r="O79" s="125">
        <f>SUM(J79:J82)</f>
        <v>3</v>
      </c>
    </row>
    <row r="80" spans="1:15">
      <c r="A80" s="15" t="s">
        <v>270</v>
      </c>
      <c r="B80" s="25" t="s">
        <v>273</v>
      </c>
      <c r="C80" s="42">
        <v>48</v>
      </c>
      <c r="D80" s="9">
        <v>41450</v>
      </c>
      <c r="E80" s="12" t="s">
        <v>289</v>
      </c>
      <c r="F80" s="12" t="s">
        <v>61</v>
      </c>
      <c r="G80" s="10">
        <v>3072.84</v>
      </c>
      <c r="H80" s="10">
        <v>1555.62</v>
      </c>
      <c r="I80" s="10">
        <v>192052.43</v>
      </c>
      <c r="J80" s="62">
        <v>0.5</v>
      </c>
      <c r="L80" s="11"/>
      <c r="M80" s="11"/>
      <c r="N80" s="124"/>
      <c r="O80" s="125"/>
    </row>
    <row r="81" spans="1:15">
      <c r="A81" s="15" t="s">
        <v>270</v>
      </c>
      <c r="B81" s="25" t="s">
        <v>273</v>
      </c>
      <c r="C81" s="42">
        <v>28</v>
      </c>
      <c r="D81" s="9">
        <v>41450</v>
      </c>
      <c r="E81" s="12" t="s">
        <v>289</v>
      </c>
      <c r="F81" s="12" t="s">
        <v>61</v>
      </c>
      <c r="G81" s="10">
        <v>3011.69</v>
      </c>
      <c r="H81" s="10">
        <v>1524.67</v>
      </c>
      <c r="I81" s="10">
        <v>188230.72</v>
      </c>
      <c r="J81" s="62">
        <v>0.5</v>
      </c>
      <c r="L81" s="11"/>
      <c r="M81" s="11"/>
      <c r="N81" s="124"/>
      <c r="O81" s="125"/>
    </row>
    <row r="82" spans="1:15">
      <c r="A82" s="15" t="s">
        <v>53</v>
      </c>
      <c r="B82" s="25" t="s">
        <v>201</v>
      </c>
      <c r="C82" s="42" t="s">
        <v>236</v>
      </c>
      <c r="D82" s="12">
        <v>41354</v>
      </c>
      <c r="E82" s="12" t="s">
        <v>43</v>
      </c>
      <c r="F82" s="12" t="s">
        <v>61</v>
      </c>
      <c r="G82" s="10">
        <f>I82*1.6%</f>
        <v>558.59248000000002</v>
      </c>
      <c r="H82" s="10"/>
      <c r="I82" s="10">
        <v>34912.03</v>
      </c>
      <c r="J82" s="34">
        <v>1</v>
      </c>
      <c r="L82" s="11"/>
      <c r="M82" s="11"/>
      <c r="N82" s="124"/>
      <c r="O82" s="125"/>
    </row>
    <row r="83" spans="1:15">
      <c r="A83" s="15" t="s">
        <v>258</v>
      </c>
      <c r="B83" s="25" t="s">
        <v>85</v>
      </c>
      <c r="C83" s="39">
        <v>93</v>
      </c>
      <c r="D83" s="9">
        <v>41444</v>
      </c>
      <c r="E83" s="12" t="s">
        <v>43</v>
      </c>
      <c r="F83" s="12" t="s">
        <v>61</v>
      </c>
      <c r="G83" s="10">
        <v>12600</v>
      </c>
      <c r="H83" s="10">
        <v>0</v>
      </c>
      <c r="I83" s="10">
        <v>630000</v>
      </c>
      <c r="J83" s="62">
        <v>1</v>
      </c>
      <c r="L83" s="123" t="str">
        <f>E83</f>
        <v>MAURICIO</v>
      </c>
      <c r="M83" s="123" t="s">
        <v>61</v>
      </c>
      <c r="N83" s="124">
        <f>SUM(I83:I84)</f>
        <v>1004000</v>
      </c>
      <c r="O83" s="125">
        <f>SUM(J83:J84)</f>
        <v>2</v>
      </c>
    </row>
    <row r="84" spans="1:15">
      <c r="A84" s="15" t="s">
        <v>145</v>
      </c>
      <c r="B84" s="25" t="s">
        <v>85</v>
      </c>
      <c r="C84" s="39">
        <v>1707</v>
      </c>
      <c r="D84" s="9">
        <v>41416</v>
      </c>
      <c r="E84" s="12" t="s">
        <v>310</v>
      </c>
      <c r="F84" s="12" t="s">
        <v>61</v>
      </c>
      <c r="G84" s="10">
        <v>5984</v>
      </c>
      <c r="H84" s="10">
        <v>2939.64</v>
      </c>
      <c r="I84" s="10">
        <v>374000</v>
      </c>
      <c r="J84" s="62">
        <v>1</v>
      </c>
      <c r="L84" s="11"/>
      <c r="M84" s="11"/>
      <c r="N84" s="124"/>
      <c r="O84" s="125"/>
    </row>
    <row r="85" spans="1:15">
      <c r="A85" s="15" t="s">
        <v>145</v>
      </c>
      <c r="B85" s="25" t="s">
        <v>85</v>
      </c>
      <c r="C85" s="39">
        <v>1708</v>
      </c>
      <c r="D85" s="9">
        <v>41416</v>
      </c>
      <c r="E85" s="12" t="s">
        <v>310</v>
      </c>
      <c r="F85" s="12" t="s">
        <v>61</v>
      </c>
      <c r="G85" s="10">
        <v>7568</v>
      </c>
      <c r="H85" s="10">
        <v>3604.26</v>
      </c>
      <c r="I85" s="10">
        <v>473000</v>
      </c>
      <c r="J85" s="62">
        <v>1</v>
      </c>
      <c r="L85" s="123" t="str">
        <f>E85</f>
        <v>NEIVA</v>
      </c>
      <c r="M85" s="123" t="s">
        <v>23</v>
      </c>
      <c r="N85" s="124">
        <f>SUM(I85:I93)</f>
        <v>3670748.0199999996</v>
      </c>
      <c r="O85" s="125">
        <f>SUM(J85:J93)</f>
        <v>8</v>
      </c>
    </row>
    <row r="86" spans="1:15">
      <c r="A86" s="15" t="s">
        <v>270</v>
      </c>
      <c r="B86" s="25" t="s">
        <v>271</v>
      </c>
      <c r="C86" s="39">
        <v>31</v>
      </c>
      <c r="D86" s="12">
        <v>41451</v>
      </c>
      <c r="E86" s="12" t="s">
        <v>290</v>
      </c>
      <c r="F86" s="12" t="s">
        <v>61</v>
      </c>
      <c r="G86" s="10">
        <v>6150.34</v>
      </c>
      <c r="H86" s="10">
        <v>3113.61</v>
      </c>
      <c r="I86" s="10">
        <v>384395.95</v>
      </c>
      <c r="J86" s="34">
        <v>1</v>
      </c>
      <c r="L86" s="11"/>
      <c r="M86" s="11"/>
      <c r="N86" s="124"/>
      <c r="O86" s="125"/>
    </row>
    <row r="87" spans="1:15">
      <c r="A87" s="15" t="s">
        <v>270</v>
      </c>
      <c r="B87" s="25" t="s">
        <v>271</v>
      </c>
      <c r="C87" s="39">
        <v>38</v>
      </c>
      <c r="D87" s="12">
        <v>41451</v>
      </c>
      <c r="E87" s="12" t="s">
        <v>290</v>
      </c>
      <c r="F87" s="12" t="s">
        <v>61</v>
      </c>
      <c r="G87" s="10">
        <v>6150.34</v>
      </c>
      <c r="H87" s="10">
        <v>3113.61</v>
      </c>
      <c r="I87" s="10">
        <v>384395.95</v>
      </c>
      <c r="J87" s="34">
        <v>1</v>
      </c>
      <c r="L87" s="11"/>
      <c r="M87" s="11"/>
      <c r="N87" s="124"/>
      <c r="O87" s="125"/>
    </row>
    <row r="88" spans="1:15">
      <c r="A88" s="15" t="s">
        <v>270</v>
      </c>
      <c r="B88" s="25" t="s">
        <v>278</v>
      </c>
      <c r="C88" s="39">
        <v>41</v>
      </c>
      <c r="D88" s="12">
        <v>41451</v>
      </c>
      <c r="E88" s="12" t="s">
        <v>290</v>
      </c>
      <c r="F88" s="12" t="s">
        <v>61</v>
      </c>
      <c r="G88" s="10">
        <v>10143.290000000001</v>
      </c>
      <c r="H88" s="10">
        <v>5020.93</v>
      </c>
      <c r="I88" s="10">
        <v>633955.6</v>
      </c>
      <c r="J88" s="34">
        <v>1</v>
      </c>
      <c r="L88" s="11"/>
      <c r="M88" s="11"/>
      <c r="N88" s="124"/>
      <c r="O88" s="125"/>
    </row>
    <row r="89" spans="1:15">
      <c r="A89" s="15" t="s">
        <v>270</v>
      </c>
      <c r="B89" s="25" t="s">
        <v>271</v>
      </c>
      <c r="C89" s="39">
        <v>87</v>
      </c>
      <c r="D89" s="12">
        <v>41451</v>
      </c>
      <c r="E89" s="12" t="s">
        <v>290</v>
      </c>
      <c r="F89" s="12" t="s">
        <v>61</v>
      </c>
      <c r="G89" s="10">
        <v>4193.8500000000004</v>
      </c>
      <c r="H89" s="10">
        <v>1592.35</v>
      </c>
      <c r="I89" s="10">
        <v>262115.65</v>
      </c>
      <c r="J89" s="34">
        <v>0.5</v>
      </c>
      <c r="L89" s="11"/>
      <c r="M89" s="11"/>
      <c r="N89" s="124"/>
      <c r="O89" s="125"/>
    </row>
    <row r="90" spans="1:15">
      <c r="A90" s="15" t="s">
        <v>145</v>
      </c>
      <c r="B90" s="25" t="s">
        <v>85</v>
      </c>
      <c r="C90" s="39">
        <v>2110</v>
      </c>
      <c r="D90" s="9">
        <v>41425</v>
      </c>
      <c r="E90" s="12" t="s">
        <v>311</v>
      </c>
      <c r="F90" s="12" t="s">
        <v>61</v>
      </c>
      <c r="G90" s="10">
        <v>6361.95</v>
      </c>
      <c r="H90" s="10">
        <v>0</v>
      </c>
      <c r="I90" s="10">
        <v>397621.86</v>
      </c>
      <c r="J90" s="62">
        <v>1</v>
      </c>
      <c r="L90" s="11"/>
      <c r="M90" s="11"/>
      <c r="N90" s="124"/>
      <c r="O90" s="125"/>
    </row>
    <row r="91" spans="1:15">
      <c r="A91" s="15" t="s">
        <v>145</v>
      </c>
      <c r="B91" s="25" t="s">
        <v>85</v>
      </c>
      <c r="C91" s="39">
        <v>2111</v>
      </c>
      <c r="D91" s="9">
        <v>41425</v>
      </c>
      <c r="E91" s="12" t="s">
        <v>311</v>
      </c>
      <c r="F91" s="12" t="s">
        <v>61</v>
      </c>
      <c r="G91" s="10">
        <v>6361.95</v>
      </c>
      <c r="H91" s="10">
        <v>0</v>
      </c>
      <c r="I91" s="10">
        <v>397621.86</v>
      </c>
      <c r="J91" s="62">
        <v>1</v>
      </c>
      <c r="L91" s="11"/>
      <c r="M91" s="11"/>
      <c r="N91" s="124"/>
      <c r="O91" s="125"/>
    </row>
    <row r="92" spans="1:15">
      <c r="A92" s="15" t="s">
        <v>270</v>
      </c>
      <c r="B92" s="25" t="s">
        <v>271</v>
      </c>
      <c r="C92" s="42">
        <v>72</v>
      </c>
      <c r="D92" s="9">
        <v>41451</v>
      </c>
      <c r="E92" s="12" t="s">
        <v>311</v>
      </c>
      <c r="F92" s="12" t="s">
        <v>61</v>
      </c>
      <c r="G92" s="10">
        <v>8197.26</v>
      </c>
      <c r="H92" s="10">
        <v>2612.88</v>
      </c>
      <c r="I92" s="10">
        <v>512328.88</v>
      </c>
      <c r="J92" s="62">
        <v>1</v>
      </c>
      <c r="L92" s="11"/>
      <c r="M92" s="11"/>
      <c r="N92" s="124"/>
      <c r="O92" s="125"/>
    </row>
    <row r="93" spans="1:15">
      <c r="A93" s="15" t="s">
        <v>270</v>
      </c>
      <c r="B93" s="25" t="s">
        <v>273</v>
      </c>
      <c r="C93" s="42">
        <v>26</v>
      </c>
      <c r="D93" s="9">
        <v>41451</v>
      </c>
      <c r="E93" s="12" t="s">
        <v>286</v>
      </c>
      <c r="F93" s="12" t="s">
        <v>61</v>
      </c>
      <c r="G93" s="10">
        <v>3605</v>
      </c>
      <c r="H93" s="10">
        <v>1825.03</v>
      </c>
      <c r="I93" s="10">
        <v>225312.27</v>
      </c>
      <c r="J93" s="62">
        <v>0.5</v>
      </c>
      <c r="L93" s="11"/>
      <c r="M93" s="11"/>
      <c r="N93" s="124"/>
      <c r="O93" s="125"/>
    </row>
    <row r="94" spans="1:15">
      <c r="A94" s="15" t="s">
        <v>145</v>
      </c>
      <c r="B94" s="25" t="s">
        <v>85</v>
      </c>
      <c r="C94" s="39">
        <v>1403</v>
      </c>
      <c r="D94" s="9">
        <v>41407</v>
      </c>
      <c r="E94" s="12" t="s">
        <v>150</v>
      </c>
      <c r="F94" s="12" t="s">
        <v>61</v>
      </c>
      <c r="G94" s="10">
        <v>5246.22</v>
      </c>
      <c r="H94" s="10">
        <v>3639.57</v>
      </c>
      <c r="I94" s="10">
        <v>327888.90000000002</v>
      </c>
      <c r="J94" s="62">
        <v>1</v>
      </c>
      <c r="L94" s="123" t="str">
        <f>E94</f>
        <v>TROIA</v>
      </c>
      <c r="M94" s="123" t="s">
        <v>24</v>
      </c>
      <c r="N94" s="124">
        <f>SUM(I94:I95)</f>
        <v>660813.9</v>
      </c>
      <c r="O94" s="125">
        <f>SUM(J94:J95)</f>
        <v>2</v>
      </c>
    </row>
    <row r="95" spans="1:15">
      <c r="A95" s="15" t="s">
        <v>145</v>
      </c>
      <c r="B95" s="25" t="s">
        <v>85</v>
      </c>
      <c r="C95" s="39">
        <v>1802</v>
      </c>
      <c r="D95" s="9">
        <v>41407</v>
      </c>
      <c r="E95" s="12" t="s">
        <v>150</v>
      </c>
      <c r="F95" s="12" t="s">
        <v>61</v>
      </c>
      <c r="G95" s="10">
        <v>5326.8</v>
      </c>
      <c r="H95" s="10">
        <v>3695.47</v>
      </c>
      <c r="I95" s="10">
        <v>332925</v>
      </c>
      <c r="J95" s="62">
        <v>1</v>
      </c>
      <c r="L95" s="11"/>
      <c r="M95" s="11"/>
      <c r="N95" s="124"/>
      <c r="O95" s="125"/>
    </row>
    <row r="96" spans="1:15">
      <c r="A96" s="15" t="s">
        <v>145</v>
      </c>
      <c r="B96" s="25" t="s">
        <v>85</v>
      </c>
      <c r="C96" s="39">
        <v>2202</v>
      </c>
      <c r="D96" s="9">
        <v>41407</v>
      </c>
      <c r="E96" s="12" t="s">
        <v>150</v>
      </c>
      <c r="F96" s="12" t="s">
        <v>61</v>
      </c>
      <c r="G96" s="10">
        <v>5973.29</v>
      </c>
      <c r="H96" s="10">
        <v>4143.97</v>
      </c>
      <c r="I96" s="10">
        <v>373330.46</v>
      </c>
      <c r="J96" s="62">
        <v>1</v>
      </c>
      <c r="L96" s="123" t="str">
        <f>E96</f>
        <v>TROIA</v>
      </c>
      <c r="M96" s="123" t="s">
        <v>61</v>
      </c>
      <c r="N96" s="124">
        <f>SUM(I96:I97)</f>
        <v>896296.60000000009</v>
      </c>
      <c r="O96" s="125">
        <f>SUM(J96:J97)</f>
        <v>2</v>
      </c>
    </row>
    <row r="97" spans="1:15">
      <c r="A97" s="15" t="s">
        <v>145</v>
      </c>
      <c r="B97" s="25" t="s">
        <v>85</v>
      </c>
      <c r="C97" s="39">
        <v>2204</v>
      </c>
      <c r="D97" s="9">
        <v>41423</v>
      </c>
      <c r="E97" s="12" t="s">
        <v>150</v>
      </c>
      <c r="F97" s="12" t="s">
        <v>61</v>
      </c>
      <c r="G97" s="10">
        <f>I97*1.6%</f>
        <v>8367.4582399999999</v>
      </c>
      <c r="H97" s="10">
        <f>I97*1.11%</f>
        <v>5804.9241540000003</v>
      </c>
      <c r="I97" s="10">
        <v>522966.14</v>
      </c>
      <c r="J97" s="62">
        <v>1</v>
      </c>
      <c r="L97" s="11"/>
      <c r="M97" s="11"/>
      <c r="N97" s="124"/>
      <c r="O97" s="125"/>
    </row>
    <row r="98" spans="1:15">
      <c r="A98" s="15" t="s">
        <v>81</v>
      </c>
      <c r="B98" s="25" t="s">
        <v>82</v>
      </c>
      <c r="C98" s="42">
        <v>116</v>
      </c>
      <c r="D98" s="9">
        <v>41374</v>
      </c>
      <c r="E98" s="12" t="s">
        <v>84</v>
      </c>
      <c r="F98" s="12" t="s">
        <v>61</v>
      </c>
      <c r="G98" s="10">
        <f>I98*2%</f>
        <v>10200.815400000001</v>
      </c>
      <c r="H98" s="10"/>
      <c r="I98" s="10">
        <v>510040.77</v>
      </c>
      <c r="J98" s="62">
        <v>1</v>
      </c>
      <c r="L98" s="123" t="str">
        <f>E98</f>
        <v>VINNI</v>
      </c>
      <c r="M98" s="123" t="s">
        <v>27</v>
      </c>
      <c r="N98" s="124">
        <f>SUM(I98:I100)</f>
        <v>1410995.32</v>
      </c>
      <c r="O98" s="125">
        <f>SUM(J98:J100)</f>
        <v>3</v>
      </c>
    </row>
    <row r="99" spans="1:15">
      <c r="A99" s="15" t="s">
        <v>145</v>
      </c>
      <c r="B99" s="25" t="s">
        <v>85</v>
      </c>
      <c r="C99" s="39">
        <v>1813</v>
      </c>
      <c r="D99" s="9">
        <v>41407</v>
      </c>
      <c r="E99" s="12" t="s">
        <v>84</v>
      </c>
      <c r="F99" s="12" t="s">
        <v>61</v>
      </c>
      <c r="G99" s="10">
        <v>8032.56</v>
      </c>
      <c r="H99" s="10">
        <v>5572.59</v>
      </c>
      <c r="I99" s="10">
        <v>502035.15</v>
      </c>
      <c r="J99" s="62">
        <v>1</v>
      </c>
      <c r="L99" s="11"/>
      <c r="M99" s="11"/>
      <c r="N99" s="124"/>
      <c r="O99" s="125"/>
    </row>
    <row r="100" spans="1:15">
      <c r="A100" s="15" t="s">
        <v>270</v>
      </c>
      <c r="B100" s="25" t="s">
        <v>271</v>
      </c>
      <c r="C100" s="39">
        <v>85</v>
      </c>
      <c r="D100" s="9">
        <v>41451</v>
      </c>
      <c r="E100" s="12" t="s">
        <v>84</v>
      </c>
      <c r="F100" s="12" t="s">
        <v>61</v>
      </c>
      <c r="G100" s="10">
        <v>6382.71</v>
      </c>
      <c r="H100" s="10">
        <v>3231.25</v>
      </c>
      <c r="I100" s="10">
        <v>398919.4</v>
      </c>
      <c r="J100" s="62">
        <v>1</v>
      </c>
      <c r="L100" s="11"/>
      <c r="M100" s="11"/>
      <c r="N100" s="124"/>
      <c r="O100" s="125"/>
    </row>
    <row r="101" spans="1:15">
      <c r="A101" s="15" t="s">
        <v>145</v>
      </c>
      <c r="B101" s="25" t="s">
        <v>85</v>
      </c>
      <c r="C101" s="39">
        <v>1110</v>
      </c>
      <c r="D101" s="9">
        <v>41413</v>
      </c>
      <c r="E101" s="12" t="s">
        <v>161</v>
      </c>
      <c r="F101" s="12" t="s">
        <v>25</v>
      </c>
      <c r="G101" s="10">
        <v>2844.8</v>
      </c>
      <c r="H101" s="10">
        <v>1973.58</v>
      </c>
      <c r="I101" s="10">
        <v>177799.85</v>
      </c>
      <c r="J101" s="62">
        <v>0.5</v>
      </c>
      <c r="L101" s="11" t="str">
        <f>E101</f>
        <v>AILTON</v>
      </c>
      <c r="M101" s="11" t="s">
        <v>24</v>
      </c>
      <c r="N101" s="124">
        <f>I101</f>
        <v>177799.85</v>
      </c>
      <c r="O101" s="125">
        <f>J101</f>
        <v>0.5</v>
      </c>
    </row>
    <row r="102" spans="1:15">
      <c r="A102" s="15" t="s">
        <v>139</v>
      </c>
      <c r="B102" s="25" t="s">
        <v>248</v>
      </c>
      <c r="C102" s="39">
        <v>1</v>
      </c>
      <c r="D102" s="9">
        <v>41281</v>
      </c>
      <c r="E102" s="12" t="s">
        <v>18</v>
      </c>
      <c r="F102" s="12" t="s">
        <v>25</v>
      </c>
      <c r="G102" s="10">
        <v>3431.88</v>
      </c>
      <c r="H102" s="10">
        <f>5854.38-G102</f>
        <v>2422.5</v>
      </c>
      <c r="I102" s="10">
        <v>201875</v>
      </c>
      <c r="J102" s="34">
        <v>1</v>
      </c>
      <c r="L102" s="123" t="str">
        <f>E102</f>
        <v>ALEXANDRE</v>
      </c>
      <c r="M102" s="123" t="s">
        <v>25</v>
      </c>
      <c r="N102" s="124">
        <f>SUM(I102:I106)</f>
        <v>1000774.36</v>
      </c>
      <c r="O102" s="125">
        <f>SUM(J102:J106)</f>
        <v>4.5</v>
      </c>
    </row>
    <row r="103" spans="1:15">
      <c r="A103" s="15" t="s">
        <v>138</v>
      </c>
      <c r="B103" s="25" t="s">
        <v>249</v>
      </c>
      <c r="C103" s="39">
        <v>6</v>
      </c>
      <c r="D103" s="12">
        <v>41297</v>
      </c>
      <c r="E103" s="12" t="s">
        <v>18</v>
      </c>
      <c r="F103" s="12" t="s">
        <v>25</v>
      </c>
      <c r="G103" s="10">
        <v>3070.63</v>
      </c>
      <c r="H103" s="10">
        <f>4154.38-G103</f>
        <v>1083.75</v>
      </c>
      <c r="I103" s="10">
        <v>180625</v>
      </c>
      <c r="J103" s="34">
        <v>1</v>
      </c>
      <c r="L103" s="11"/>
      <c r="M103" s="11"/>
      <c r="N103" s="124"/>
      <c r="O103" s="125"/>
    </row>
    <row r="104" spans="1:15">
      <c r="A104" s="15" t="s">
        <v>182</v>
      </c>
      <c r="B104" s="25" t="s">
        <v>183</v>
      </c>
      <c r="C104" s="42">
        <v>43</v>
      </c>
      <c r="D104" s="9">
        <v>41397</v>
      </c>
      <c r="E104" s="12" t="s">
        <v>184</v>
      </c>
      <c r="F104" s="12" t="s">
        <v>25</v>
      </c>
      <c r="G104" s="10">
        <f>I104*1.7%</f>
        <v>3060</v>
      </c>
      <c r="H104" s="10">
        <v>0</v>
      </c>
      <c r="I104" s="10">
        <v>180000</v>
      </c>
      <c r="J104" s="62">
        <v>1</v>
      </c>
      <c r="L104" s="11"/>
      <c r="M104" s="11"/>
      <c r="N104" s="124"/>
      <c r="O104" s="125"/>
    </row>
    <row r="105" spans="1:15">
      <c r="A105" s="15" t="s">
        <v>138</v>
      </c>
      <c r="B105" s="25" t="s">
        <v>185</v>
      </c>
      <c r="C105" s="42">
        <v>61</v>
      </c>
      <c r="D105" s="9">
        <v>41404</v>
      </c>
      <c r="E105" s="12" t="s">
        <v>184</v>
      </c>
      <c r="F105" s="12" t="s">
        <v>25</v>
      </c>
      <c r="G105" s="10">
        <f>I105*1.7%</f>
        <v>3774.0003400000001</v>
      </c>
      <c r="H105" s="10">
        <f>6438-G105</f>
        <v>2663.9996599999999</v>
      </c>
      <c r="I105" s="10">
        <v>222000.02</v>
      </c>
      <c r="J105" s="62">
        <v>1</v>
      </c>
      <c r="L105" s="11"/>
      <c r="M105" s="11"/>
      <c r="N105" s="124"/>
      <c r="O105" s="125"/>
    </row>
    <row r="106" spans="1:15">
      <c r="A106" s="15" t="s">
        <v>124</v>
      </c>
      <c r="B106" s="25" t="s">
        <v>85</v>
      </c>
      <c r="C106" s="39">
        <v>612</v>
      </c>
      <c r="D106" s="12">
        <v>41343</v>
      </c>
      <c r="E106" s="12" t="s">
        <v>64</v>
      </c>
      <c r="F106" s="12" t="s">
        <v>25</v>
      </c>
      <c r="G106" s="10">
        <v>5861.03</v>
      </c>
      <c r="H106" s="10"/>
      <c r="I106" s="10">
        <v>216274.34</v>
      </c>
      <c r="J106" s="34">
        <v>0.5</v>
      </c>
      <c r="L106" s="11"/>
      <c r="M106" s="11"/>
      <c r="N106" s="124"/>
      <c r="O106" s="125"/>
    </row>
    <row r="107" spans="1:15">
      <c r="A107" s="15" t="s">
        <v>124</v>
      </c>
      <c r="B107" s="25" t="s">
        <v>85</v>
      </c>
      <c r="C107" s="39">
        <v>1411</v>
      </c>
      <c r="D107" s="9">
        <v>41343</v>
      </c>
      <c r="E107" s="12" t="s">
        <v>64</v>
      </c>
      <c r="F107" s="12" t="s">
        <v>25</v>
      </c>
      <c r="G107" s="10">
        <v>13673.85</v>
      </c>
      <c r="H107" s="10"/>
      <c r="I107" s="10">
        <v>504570</v>
      </c>
      <c r="J107" s="34">
        <v>1</v>
      </c>
      <c r="L107" s="123" t="str">
        <f>E107</f>
        <v>ANDERSON</v>
      </c>
      <c r="M107" s="123" t="s">
        <v>25</v>
      </c>
      <c r="N107" s="124">
        <f>SUM(I107:I108)</f>
        <v>722384.01</v>
      </c>
      <c r="O107" s="125">
        <f>SUM(J107:J108)</f>
        <v>2</v>
      </c>
    </row>
    <row r="108" spans="1:15">
      <c r="A108" s="15" t="s">
        <v>138</v>
      </c>
      <c r="B108" s="25" t="s">
        <v>247</v>
      </c>
      <c r="C108" s="39">
        <v>2</v>
      </c>
      <c r="D108" s="9">
        <v>41284</v>
      </c>
      <c r="E108" s="12" t="s">
        <v>17</v>
      </c>
      <c r="F108" s="12" t="s">
        <v>25</v>
      </c>
      <c r="G108" s="10">
        <v>3702.84</v>
      </c>
      <c r="H108" s="10">
        <f>6316.61-G108</f>
        <v>2613.7699999999995</v>
      </c>
      <c r="I108" s="10">
        <v>217814.01</v>
      </c>
      <c r="J108" s="34">
        <v>1</v>
      </c>
      <c r="L108" s="11"/>
      <c r="M108" s="11"/>
      <c r="N108" s="124"/>
      <c r="O108" s="125"/>
    </row>
    <row r="109" spans="1:15">
      <c r="A109" s="15" t="s">
        <v>139</v>
      </c>
      <c r="B109" s="25" t="s">
        <v>17</v>
      </c>
      <c r="C109" s="39">
        <v>42</v>
      </c>
      <c r="D109" s="9">
        <v>41290</v>
      </c>
      <c r="E109" s="12" t="s">
        <v>17</v>
      </c>
      <c r="F109" s="12" t="s">
        <v>25</v>
      </c>
      <c r="G109" s="10">
        <v>2980.32</v>
      </c>
      <c r="H109" s="10">
        <f>4032.2-G109</f>
        <v>1051.8799999999997</v>
      </c>
      <c r="I109" s="10">
        <v>175313</v>
      </c>
      <c r="J109" s="34">
        <v>1</v>
      </c>
      <c r="L109" s="126" t="str">
        <f>E109</f>
        <v>BRUNO</v>
      </c>
      <c r="M109" s="126" t="s">
        <v>26</v>
      </c>
      <c r="N109" s="124">
        <f>SUM(I109:I111)</f>
        <v>493271</v>
      </c>
      <c r="O109" s="125">
        <f>SUM(J109:J111)</f>
        <v>2.5</v>
      </c>
    </row>
    <row r="110" spans="1:15">
      <c r="A110" s="15" t="s">
        <v>219</v>
      </c>
      <c r="B110" s="25" t="s">
        <v>220</v>
      </c>
      <c r="C110" s="39">
        <v>107</v>
      </c>
      <c r="D110" s="12">
        <v>41337</v>
      </c>
      <c r="E110" s="12" t="s">
        <v>17</v>
      </c>
      <c r="F110" s="12" t="s">
        <v>25</v>
      </c>
      <c r="G110" s="10">
        <f>I110*2%</f>
        <v>3961.1600000000003</v>
      </c>
      <c r="H110" s="10"/>
      <c r="I110" s="10">
        <v>198058</v>
      </c>
      <c r="J110" s="34">
        <v>1</v>
      </c>
      <c r="L110" s="11"/>
      <c r="M110" s="11"/>
      <c r="N110" s="124"/>
      <c r="O110" s="125"/>
    </row>
    <row r="111" spans="1:15">
      <c r="A111" s="15" t="s">
        <v>204</v>
      </c>
      <c r="B111" s="25" t="s">
        <v>205</v>
      </c>
      <c r="C111" s="42">
        <v>6</v>
      </c>
      <c r="D111" s="9">
        <v>41374</v>
      </c>
      <c r="E111" s="12" t="s">
        <v>17</v>
      </c>
      <c r="F111" s="12" t="s">
        <v>25</v>
      </c>
      <c r="G111" s="10">
        <f>I111*1%</f>
        <v>1199</v>
      </c>
      <c r="H111" s="10"/>
      <c r="I111" s="10">
        <v>119900</v>
      </c>
      <c r="J111" s="62">
        <v>0.5</v>
      </c>
      <c r="L111" s="11"/>
      <c r="M111" s="11"/>
      <c r="N111" s="124"/>
      <c r="O111" s="125"/>
    </row>
    <row r="112" spans="1:15">
      <c r="A112" s="15" t="s">
        <v>191</v>
      </c>
      <c r="B112" s="25" t="s">
        <v>117</v>
      </c>
      <c r="C112" s="42">
        <v>31</v>
      </c>
      <c r="D112" s="9">
        <v>41417</v>
      </c>
      <c r="E112" s="12" t="s">
        <v>190</v>
      </c>
      <c r="F112" s="12" t="s">
        <v>25</v>
      </c>
      <c r="G112" s="10">
        <v>4470</v>
      </c>
      <c r="H112" s="10">
        <v>0</v>
      </c>
      <c r="I112" s="10">
        <v>223500</v>
      </c>
      <c r="J112" s="62">
        <v>1</v>
      </c>
      <c r="L112" s="123" t="str">
        <f>E112</f>
        <v xml:space="preserve">BRUNO </v>
      </c>
      <c r="M112" s="123" t="s">
        <v>79</v>
      </c>
      <c r="N112" s="124">
        <f>I112</f>
        <v>223500</v>
      </c>
      <c r="O112" s="125">
        <v>0.5</v>
      </c>
    </row>
    <row r="113" spans="1:15">
      <c r="A113" s="15" t="s">
        <v>182</v>
      </c>
      <c r="B113" s="25" t="s">
        <v>189</v>
      </c>
      <c r="C113" s="39">
        <v>57</v>
      </c>
      <c r="D113" s="12">
        <v>41396</v>
      </c>
      <c r="E113" s="12" t="s">
        <v>190</v>
      </c>
      <c r="F113" s="12" t="s">
        <v>25</v>
      </c>
      <c r="G113" s="10">
        <f>I113*1.7%</f>
        <v>3060</v>
      </c>
      <c r="H113" s="10">
        <v>0</v>
      </c>
      <c r="I113" s="10">
        <v>180000</v>
      </c>
      <c r="J113" s="62">
        <v>1</v>
      </c>
      <c r="L113" s="123" t="str">
        <f>E113</f>
        <v xml:space="preserve">BRUNO </v>
      </c>
      <c r="M113" s="123" t="s">
        <v>26</v>
      </c>
      <c r="N113" s="124">
        <f>SUM(I113:I116)</f>
        <v>934762.46</v>
      </c>
      <c r="O113" s="125">
        <f>SUM(J113:J116)</f>
        <v>3</v>
      </c>
    </row>
    <row r="114" spans="1:15">
      <c r="A114" s="15" t="s">
        <v>270</v>
      </c>
      <c r="B114" s="25" t="s">
        <v>273</v>
      </c>
      <c r="C114" s="39">
        <v>37</v>
      </c>
      <c r="D114" s="9">
        <v>41451</v>
      </c>
      <c r="E114" s="12" t="s">
        <v>295</v>
      </c>
      <c r="F114" s="12" t="s">
        <v>25</v>
      </c>
      <c r="G114" s="10">
        <v>3716.23</v>
      </c>
      <c r="H114" s="10">
        <v>1881.34</v>
      </c>
      <c r="I114" s="10">
        <v>232264.44</v>
      </c>
      <c r="J114" s="62">
        <v>0.5</v>
      </c>
      <c r="L114" s="11"/>
      <c r="M114" s="11"/>
      <c r="N114" s="124"/>
      <c r="O114" s="125"/>
    </row>
    <row r="115" spans="1:15">
      <c r="A115" s="15" t="s">
        <v>270</v>
      </c>
      <c r="B115" s="25" t="s">
        <v>201</v>
      </c>
      <c r="C115" s="42" t="s">
        <v>294</v>
      </c>
      <c r="D115" s="9">
        <v>41451</v>
      </c>
      <c r="E115" s="12" t="s">
        <v>295</v>
      </c>
      <c r="F115" s="12" t="s">
        <v>25</v>
      </c>
      <c r="G115" s="10">
        <v>216.94</v>
      </c>
      <c r="H115" s="10">
        <v>0</v>
      </c>
      <c r="I115" s="10">
        <v>13558.87</v>
      </c>
      <c r="J115" s="62">
        <v>0.5</v>
      </c>
      <c r="L115" s="11"/>
      <c r="M115" s="11"/>
      <c r="N115" s="124"/>
      <c r="O115" s="125"/>
    </row>
    <row r="116" spans="1:15">
      <c r="A116" s="15" t="s">
        <v>270</v>
      </c>
      <c r="B116" s="25" t="s">
        <v>271</v>
      </c>
      <c r="C116" s="39">
        <v>76</v>
      </c>
      <c r="D116" s="9">
        <v>41451</v>
      </c>
      <c r="E116" s="12" t="s">
        <v>295</v>
      </c>
      <c r="F116" s="12" t="s">
        <v>25</v>
      </c>
      <c r="G116" s="10">
        <v>8143.03</v>
      </c>
      <c r="H116" s="10">
        <v>0</v>
      </c>
      <c r="I116" s="10">
        <v>508939.15</v>
      </c>
      <c r="J116" s="62">
        <v>1</v>
      </c>
      <c r="L116" s="11"/>
      <c r="M116" s="11"/>
      <c r="N116" s="124"/>
      <c r="O116" s="125"/>
    </row>
    <row r="117" spans="1:15">
      <c r="A117" s="15" t="s">
        <v>270</v>
      </c>
      <c r="B117" s="25" t="s">
        <v>271</v>
      </c>
      <c r="C117" s="42">
        <v>56</v>
      </c>
      <c r="D117" s="9">
        <v>41451</v>
      </c>
      <c r="E117" s="12" t="s">
        <v>295</v>
      </c>
      <c r="F117" s="12" t="s">
        <v>25</v>
      </c>
      <c r="G117" s="10">
        <v>8127.22</v>
      </c>
      <c r="H117" s="10">
        <v>0</v>
      </c>
      <c r="I117" s="10">
        <v>507951.47</v>
      </c>
      <c r="J117" s="62">
        <v>1</v>
      </c>
      <c r="L117" s="123" t="str">
        <f>E117</f>
        <v>CABRAL</v>
      </c>
      <c r="M117" s="123" t="s">
        <v>61</v>
      </c>
      <c r="N117" s="124">
        <f>I117</f>
        <v>507951.47</v>
      </c>
      <c r="O117" s="125">
        <f>J117</f>
        <v>1</v>
      </c>
    </row>
    <row r="118" spans="1:15">
      <c r="A118" s="15" t="s">
        <v>204</v>
      </c>
      <c r="B118" s="25" t="s">
        <v>205</v>
      </c>
      <c r="C118" s="42">
        <v>6</v>
      </c>
      <c r="D118" s="9">
        <v>41374</v>
      </c>
      <c r="E118" s="12" t="s">
        <v>206</v>
      </c>
      <c r="F118" s="12" t="s">
        <v>25</v>
      </c>
      <c r="G118" s="10">
        <f>I118*1%</f>
        <v>1199</v>
      </c>
      <c r="H118" s="10"/>
      <c r="I118" s="10">
        <v>119900</v>
      </c>
      <c r="J118" s="62">
        <v>0.5</v>
      </c>
      <c r="L118" s="123" t="str">
        <f>E118</f>
        <v>CAMIS</v>
      </c>
      <c r="M118" s="123" t="s">
        <v>25</v>
      </c>
      <c r="N118" s="124">
        <f>SUM(I118:I119)</f>
        <v>343100</v>
      </c>
      <c r="O118" s="125">
        <f>SUM(J118:J119)</f>
        <v>1</v>
      </c>
    </row>
    <row r="119" spans="1:15">
      <c r="A119" s="15" t="s">
        <v>145</v>
      </c>
      <c r="B119" s="25" t="s">
        <v>82</v>
      </c>
      <c r="C119" s="39">
        <v>409</v>
      </c>
      <c r="D119" s="9">
        <v>41445</v>
      </c>
      <c r="E119" s="12" t="s">
        <v>206</v>
      </c>
      <c r="F119" s="12" t="s">
        <v>25</v>
      </c>
      <c r="G119" s="10">
        <v>3571.2</v>
      </c>
      <c r="H119" s="10">
        <v>0</v>
      </c>
      <c r="I119" s="10">
        <v>223200</v>
      </c>
      <c r="J119" s="62">
        <v>0.5</v>
      </c>
      <c r="L119" s="11"/>
      <c r="M119" s="11"/>
      <c r="N119" s="124"/>
      <c r="O119" s="125"/>
    </row>
    <row r="120" spans="1:15">
      <c r="A120" s="15" t="s">
        <v>145</v>
      </c>
      <c r="B120" s="25" t="s">
        <v>82</v>
      </c>
      <c r="C120" s="39">
        <v>2408</v>
      </c>
      <c r="D120" s="9">
        <v>41445</v>
      </c>
      <c r="E120" s="12" t="s">
        <v>206</v>
      </c>
      <c r="F120" s="12" t="s">
        <v>25</v>
      </c>
      <c r="G120" s="10">
        <v>3868.8</v>
      </c>
      <c r="H120" s="10">
        <v>0</v>
      </c>
      <c r="I120" s="10">
        <v>241800</v>
      </c>
      <c r="J120" s="62">
        <v>0.5</v>
      </c>
      <c r="L120" s="123" t="str">
        <f>E120</f>
        <v>CAMIS</v>
      </c>
      <c r="M120" s="123" t="s">
        <v>25</v>
      </c>
      <c r="N120" s="124">
        <f>SUM(I120:I128)</f>
        <v>3132552.91</v>
      </c>
      <c r="O120" s="125">
        <f>SUM(J120:J128)</f>
        <v>6</v>
      </c>
    </row>
    <row r="121" spans="1:15">
      <c r="A121" s="15" t="s">
        <v>57</v>
      </c>
      <c r="B121" s="25" t="s">
        <v>188</v>
      </c>
      <c r="C121" s="39">
        <v>152</v>
      </c>
      <c r="D121" s="9">
        <v>41414</v>
      </c>
      <c r="E121" s="12" t="s">
        <v>206</v>
      </c>
      <c r="F121" s="12" t="s">
        <v>25</v>
      </c>
      <c r="G121" s="10">
        <v>4418.3999999999996</v>
      </c>
      <c r="H121" s="10">
        <v>0</v>
      </c>
      <c r="I121" s="10">
        <v>138075</v>
      </c>
      <c r="J121" s="62">
        <v>0.5</v>
      </c>
      <c r="L121" s="11"/>
      <c r="M121" s="11"/>
      <c r="N121" s="124"/>
      <c r="O121" s="125"/>
    </row>
    <row r="122" spans="1:15">
      <c r="A122" s="15" t="s">
        <v>89</v>
      </c>
      <c r="B122" s="25" t="s">
        <v>85</v>
      </c>
      <c r="C122" s="39">
        <v>192</v>
      </c>
      <c r="D122" s="9">
        <v>41425</v>
      </c>
      <c r="E122" s="12" t="s">
        <v>206</v>
      </c>
      <c r="F122" s="12" t="s">
        <v>25</v>
      </c>
      <c r="G122" s="10">
        <v>24000</v>
      </c>
      <c r="H122" s="10">
        <v>13320</v>
      </c>
      <c r="I122" s="10">
        <v>1200000</v>
      </c>
      <c r="J122" s="62">
        <v>0.5</v>
      </c>
      <c r="L122" s="11"/>
      <c r="M122" s="11"/>
      <c r="N122" s="124"/>
      <c r="O122" s="125"/>
    </row>
    <row r="123" spans="1:15">
      <c r="A123" s="15" t="s">
        <v>186</v>
      </c>
      <c r="B123" s="25" t="s">
        <v>85</v>
      </c>
      <c r="C123" s="42">
        <v>412</v>
      </c>
      <c r="D123" s="9">
        <v>41402</v>
      </c>
      <c r="E123" s="12" t="s">
        <v>206</v>
      </c>
      <c r="F123" s="12" t="s">
        <v>25</v>
      </c>
      <c r="G123" s="10">
        <f>I123*2%</f>
        <v>7348</v>
      </c>
      <c r="H123" s="10">
        <v>0</v>
      </c>
      <c r="I123" s="10">
        <v>367400</v>
      </c>
      <c r="J123" s="62">
        <v>1</v>
      </c>
      <c r="L123" s="11"/>
      <c r="M123" s="11"/>
      <c r="N123" s="124"/>
      <c r="O123" s="125"/>
    </row>
    <row r="124" spans="1:15">
      <c r="A124" s="15" t="s">
        <v>145</v>
      </c>
      <c r="B124" s="25" t="s">
        <v>85</v>
      </c>
      <c r="C124" s="39">
        <v>502</v>
      </c>
      <c r="D124" s="9">
        <v>41407</v>
      </c>
      <c r="E124" s="12" t="s">
        <v>206</v>
      </c>
      <c r="F124" s="12" t="s">
        <v>25</v>
      </c>
      <c r="G124" s="10">
        <v>2823.22</v>
      </c>
      <c r="H124" s="10">
        <v>1958.61</v>
      </c>
      <c r="I124" s="10">
        <v>176451.06</v>
      </c>
      <c r="J124" s="62">
        <v>0.5</v>
      </c>
      <c r="L124" s="11"/>
      <c r="M124" s="11"/>
      <c r="N124" s="124"/>
      <c r="O124" s="125"/>
    </row>
    <row r="125" spans="1:15">
      <c r="A125" s="15" t="s">
        <v>145</v>
      </c>
      <c r="B125" s="25" t="s">
        <v>85</v>
      </c>
      <c r="C125" s="39">
        <v>715</v>
      </c>
      <c r="D125" s="9">
        <v>41407</v>
      </c>
      <c r="E125" s="12" t="s">
        <v>206</v>
      </c>
      <c r="F125" s="12" t="s">
        <v>25</v>
      </c>
      <c r="G125" s="10">
        <v>4860.99</v>
      </c>
      <c r="H125" s="10">
        <v>3372.31</v>
      </c>
      <c r="I125" s="10">
        <v>303812</v>
      </c>
      <c r="J125" s="62">
        <v>1</v>
      </c>
      <c r="L125" s="11"/>
      <c r="M125" s="11"/>
      <c r="N125" s="124"/>
      <c r="O125" s="125"/>
    </row>
    <row r="126" spans="1:15">
      <c r="A126" s="15" t="s">
        <v>145</v>
      </c>
      <c r="B126" s="25" t="s">
        <v>85</v>
      </c>
      <c r="C126" s="39">
        <v>1016</v>
      </c>
      <c r="D126" s="9">
        <v>41413</v>
      </c>
      <c r="E126" s="12" t="s">
        <v>206</v>
      </c>
      <c r="F126" s="12" t="s">
        <v>25</v>
      </c>
      <c r="G126" s="10">
        <v>29150.02</v>
      </c>
      <c r="H126" s="10">
        <v>2022.29</v>
      </c>
      <c r="I126" s="10">
        <v>182188.42</v>
      </c>
      <c r="J126" s="62">
        <v>0.5</v>
      </c>
      <c r="L126" s="11"/>
      <c r="M126" s="11"/>
      <c r="N126" s="124"/>
      <c r="O126" s="125"/>
    </row>
    <row r="127" spans="1:15">
      <c r="A127" s="15" t="s">
        <v>145</v>
      </c>
      <c r="B127" s="25" t="s">
        <v>85</v>
      </c>
      <c r="C127" s="39">
        <v>1103</v>
      </c>
      <c r="D127" s="9">
        <v>41413</v>
      </c>
      <c r="E127" s="12" t="s">
        <v>206</v>
      </c>
      <c r="F127" s="12" t="s">
        <v>25</v>
      </c>
      <c r="G127" s="10">
        <v>5883.69</v>
      </c>
      <c r="H127" s="10">
        <v>4081.81</v>
      </c>
      <c r="I127" s="10">
        <v>367730.43</v>
      </c>
      <c r="J127" s="62">
        <v>1</v>
      </c>
      <c r="L127" s="11"/>
      <c r="M127" s="11"/>
      <c r="N127" s="124"/>
      <c r="O127" s="125"/>
    </row>
    <row r="128" spans="1:15">
      <c r="A128" s="15" t="s">
        <v>145</v>
      </c>
      <c r="B128" s="25" t="s">
        <v>85</v>
      </c>
      <c r="C128" s="39">
        <v>1901</v>
      </c>
      <c r="D128" s="9">
        <v>41421</v>
      </c>
      <c r="E128" s="12" t="s">
        <v>206</v>
      </c>
      <c r="F128" s="12" t="s">
        <v>25</v>
      </c>
      <c r="G128" s="10">
        <f>I128*1.6%</f>
        <v>2481.5360000000001</v>
      </c>
      <c r="H128" s="10">
        <v>0</v>
      </c>
      <c r="I128" s="10">
        <v>155096</v>
      </c>
      <c r="J128" s="62">
        <v>0.5</v>
      </c>
      <c r="L128" s="11"/>
      <c r="M128" s="11"/>
      <c r="N128" s="124"/>
      <c r="O128" s="125"/>
    </row>
    <row r="129" spans="1:15">
      <c r="A129" s="15" t="s">
        <v>270</v>
      </c>
      <c r="B129" s="25" t="s">
        <v>273</v>
      </c>
      <c r="C129" s="39">
        <v>62</v>
      </c>
      <c r="D129" s="9">
        <v>41451</v>
      </c>
      <c r="E129" s="12" t="s">
        <v>206</v>
      </c>
      <c r="F129" s="12" t="s">
        <v>25</v>
      </c>
      <c r="G129" s="10">
        <v>3936.26</v>
      </c>
      <c r="H129" s="10">
        <v>1992.73</v>
      </c>
      <c r="I129" s="10">
        <v>246016</v>
      </c>
      <c r="J129" s="34">
        <v>0.5</v>
      </c>
      <c r="L129" s="123" t="str">
        <f>E129</f>
        <v>CAMIS</v>
      </c>
      <c r="M129" s="123" t="s">
        <v>61</v>
      </c>
      <c r="N129" s="124">
        <f>I129</f>
        <v>246016</v>
      </c>
      <c r="O129" s="125">
        <f>J129</f>
        <v>0.5</v>
      </c>
    </row>
    <row r="130" spans="1:15">
      <c r="A130" s="15" t="s">
        <v>270</v>
      </c>
      <c r="B130" s="25" t="s">
        <v>273</v>
      </c>
      <c r="C130" s="39">
        <v>82</v>
      </c>
      <c r="D130" s="9">
        <v>41451</v>
      </c>
      <c r="E130" s="12" t="s">
        <v>206</v>
      </c>
      <c r="F130" s="12" t="s">
        <v>25</v>
      </c>
      <c r="G130" s="10">
        <v>5151.51</v>
      </c>
      <c r="H130" s="10">
        <v>0</v>
      </c>
      <c r="I130" s="10">
        <v>321969.43</v>
      </c>
      <c r="J130" s="34">
        <v>0.5</v>
      </c>
      <c r="L130" s="123" t="str">
        <f>E130</f>
        <v>CAMIS</v>
      </c>
      <c r="M130" s="123" t="s">
        <v>24</v>
      </c>
      <c r="N130" s="124">
        <f>SUM(I130:I135)</f>
        <v>1994522.4200000002</v>
      </c>
      <c r="O130" s="125">
        <f>SUM(J130:J135)</f>
        <v>5</v>
      </c>
    </row>
    <row r="131" spans="1:15">
      <c r="A131" s="15" t="s">
        <v>124</v>
      </c>
      <c r="B131" s="25" t="s">
        <v>85</v>
      </c>
      <c r="C131" s="39">
        <v>712</v>
      </c>
      <c r="D131" s="12">
        <v>41343</v>
      </c>
      <c r="E131" s="12" t="s">
        <v>65</v>
      </c>
      <c r="F131" s="12" t="s">
        <v>25</v>
      </c>
      <c r="G131" s="10">
        <v>5055.78</v>
      </c>
      <c r="H131" s="10"/>
      <c r="I131" s="10">
        <v>186560</v>
      </c>
      <c r="J131" s="34">
        <v>0.5</v>
      </c>
      <c r="L131" s="11"/>
      <c r="M131" s="11"/>
      <c r="N131" s="124"/>
      <c r="O131" s="125"/>
    </row>
    <row r="132" spans="1:15">
      <c r="A132" s="15" t="s">
        <v>145</v>
      </c>
      <c r="B132" s="25" t="s">
        <v>85</v>
      </c>
      <c r="C132" s="39">
        <v>403</v>
      </c>
      <c r="D132" s="9">
        <v>41413</v>
      </c>
      <c r="E132" s="12" t="s">
        <v>65</v>
      </c>
      <c r="F132" s="12" t="s">
        <v>25</v>
      </c>
      <c r="G132" s="10">
        <v>5566.6</v>
      </c>
      <c r="H132" s="10">
        <v>3861.83</v>
      </c>
      <c r="I132" s="10">
        <v>347912.46</v>
      </c>
      <c r="J132" s="62">
        <v>1</v>
      </c>
      <c r="L132" s="11"/>
      <c r="M132" s="11"/>
      <c r="N132" s="124"/>
      <c r="O132" s="125"/>
    </row>
    <row r="133" spans="1:15">
      <c r="A133" s="15" t="s">
        <v>145</v>
      </c>
      <c r="B133" s="25" t="s">
        <v>85</v>
      </c>
      <c r="C133" s="39">
        <v>1108</v>
      </c>
      <c r="D133" s="9">
        <v>41413</v>
      </c>
      <c r="E133" s="12" t="s">
        <v>65</v>
      </c>
      <c r="F133" s="12" t="s">
        <v>25</v>
      </c>
      <c r="G133" s="10">
        <v>6560</v>
      </c>
      <c r="H133" s="10">
        <v>4551</v>
      </c>
      <c r="I133" s="10">
        <v>410000</v>
      </c>
      <c r="J133" s="62">
        <v>1</v>
      </c>
      <c r="L133" s="11"/>
      <c r="M133" s="11"/>
      <c r="N133" s="124"/>
      <c r="O133" s="125"/>
    </row>
    <row r="134" spans="1:15">
      <c r="A134" s="15" t="s">
        <v>145</v>
      </c>
      <c r="B134" s="25" t="s">
        <v>85</v>
      </c>
      <c r="C134" s="39">
        <v>2001</v>
      </c>
      <c r="D134" s="9">
        <v>41408</v>
      </c>
      <c r="E134" s="12" t="s">
        <v>65</v>
      </c>
      <c r="F134" s="12" t="s">
        <v>25</v>
      </c>
      <c r="G134" s="10">
        <v>5956.8</v>
      </c>
      <c r="H134" s="10">
        <v>4132.53</v>
      </c>
      <c r="I134" s="10">
        <v>485939.51</v>
      </c>
      <c r="J134" s="62">
        <v>1</v>
      </c>
      <c r="L134" s="11"/>
      <c r="M134" s="11"/>
      <c r="N134" s="124"/>
      <c r="O134" s="125"/>
    </row>
    <row r="135" spans="1:15">
      <c r="A135" s="15" t="s">
        <v>116</v>
      </c>
      <c r="B135" s="25" t="s">
        <v>117</v>
      </c>
      <c r="C135" s="39">
        <v>105</v>
      </c>
      <c r="D135" s="9">
        <v>41437</v>
      </c>
      <c r="E135" s="12" t="s">
        <v>65</v>
      </c>
      <c r="F135" s="12" t="s">
        <v>25</v>
      </c>
      <c r="G135" s="10">
        <f>I135*2%</f>
        <v>4842.8203999999996</v>
      </c>
      <c r="H135" s="10">
        <f>6164.91-G135</f>
        <v>1322.0896000000002</v>
      </c>
      <c r="I135" s="10">
        <v>242141.02</v>
      </c>
      <c r="J135" s="62">
        <v>1</v>
      </c>
      <c r="L135" s="123" t="str">
        <f>E136</f>
        <v>DANTE</v>
      </c>
      <c r="M135" s="123" t="s">
        <v>26</v>
      </c>
      <c r="N135" s="124">
        <f>SUM(I136:I145)</f>
        <v>4128120.5100000002</v>
      </c>
      <c r="O135" s="125">
        <f>SUM(J136:J145)</f>
        <v>9</v>
      </c>
    </row>
    <row r="136" spans="1:15">
      <c r="A136" s="15" t="s">
        <v>145</v>
      </c>
      <c r="B136" s="25" t="s">
        <v>85</v>
      </c>
      <c r="C136" s="39">
        <v>306</v>
      </c>
      <c r="D136" s="9">
        <v>41413</v>
      </c>
      <c r="E136" s="12" t="s">
        <v>162</v>
      </c>
      <c r="F136" s="12" t="s">
        <v>25</v>
      </c>
      <c r="G136" s="10">
        <v>5810.45</v>
      </c>
      <c r="H136" s="10">
        <v>4031</v>
      </c>
      <c r="I136" s="10">
        <v>363152.84</v>
      </c>
      <c r="J136" s="62">
        <v>1</v>
      </c>
      <c r="L136" s="11"/>
      <c r="M136" s="11"/>
      <c r="N136" s="124"/>
      <c r="O136" s="125"/>
    </row>
    <row r="137" spans="1:15">
      <c r="A137" s="15" t="s">
        <v>145</v>
      </c>
      <c r="B137" s="25" t="s">
        <v>85</v>
      </c>
      <c r="C137" s="39">
        <v>1102</v>
      </c>
      <c r="D137" s="9">
        <v>41411</v>
      </c>
      <c r="E137" s="12" t="s">
        <v>162</v>
      </c>
      <c r="F137" s="12" t="s">
        <v>25</v>
      </c>
      <c r="G137" s="10">
        <v>5019.21</v>
      </c>
      <c r="H137" s="10">
        <v>3482.08</v>
      </c>
      <c r="I137" s="10">
        <v>313700.90999999997</v>
      </c>
      <c r="J137" s="62">
        <v>1</v>
      </c>
      <c r="L137" s="11"/>
      <c r="M137" s="11"/>
      <c r="N137" s="124"/>
      <c r="O137" s="125"/>
    </row>
    <row r="138" spans="1:15">
      <c r="A138" s="15" t="s">
        <v>120</v>
      </c>
      <c r="B138" s="25" t="s">
        <v>113</v>
      </c>
      <c r="C138" s="39">
        <v>96</v>
      </c>
      <c r="D138" s="9">
        <v>41324</v>
      </c>
      <c r="E138" s="12" t="s">
        <v>47</v>
      </c>
      <c r="F138" s="12" t="s">
        <v>25</v>
      </c>
      <c r="G138" s="10">
        <f>I138*2%</f>
        <v>13540.800000000001</v>
      </c>
      <c r="H138" s="10">
        <f>18347.78-G138</f>
        <v>4806.9799999999977</v>
      </c>
      <c r="I138" s="10">
        <v>677040</v>
      </c>
      <c r="J138" s="34">
        <v>1</v>
      </c>
      <c r="L138" s="11"/>
      <c r="M138" s="11"/>
      <c r="N138" s="124"/>
      <c r="O138" s="125"/>
    </row>
    <row r="139" spans="1:15">
      <c r="A139" s="15" t="s">
        <v>53</v>
      </c>
      <c r="B139" s="25" t="s">
        <v>225</v>
      </c>
      <c r="C139" s="39">
        <v>103</v>
      </c>
      <c r="D139" s="12">
        <v>41336</v>
      </c>
      <c r="E139" s="12" t="s">
        <v>47</v>
      </c>
      <c r="F139" s="12" t="s">
        <v>25</v>
      </c>
      <c r="G139" s="10">
        <f>I139*1.6%</f>
        <v>10687.9992</v>
      </c>
      <c r="H139" s="10"/>
      <c r="I139" s="10">
        <v>667999.94999999995</v>
      </c>
      <c r="J139" s="34">
        <v>1</v>
      </c>
      <c r="L139" s="11"/>
      <c r="M139" s="11"/>
      <c r="N139" s="124"/>
      <c r="O139" s="125"/>
    </row>
    <row r="140" spans="1:15">
      <c r="A140" s="15" t="s">
        <v>124</v>
      </c>
      <c r="B140" s="25" t="s">
        <v>85</v>
      </c>
      <c r="C140" s="39">
        <v>102</v>
      </c>
      <c r="D140" s="12">
        <v>41343</v>
      </c>
      <c r="E140" s="12" t="s">
        <v>62</v>
      </c>
      <c r="F140" s="12" t="s">
        <v>25</v>
      </c>
      <c r="G140" s="10">
        <v>5931.65</v>
      </c>
      <c r="H140" s="10"/>
      <c r="I140" s="10">
        <v>218880.01</v>
      </c>
      <c r="J140" s="34">
        <v>0.5</v>
      </c>
      <c r="L140" s="11"/>
      <c r="M140" s="11"/>
      <c r="N140" s="124"/>
      <c r="O140" s="125"/>
    </row>
    <row r="141" spans="1:15">
      <c r="A141" s="15" t="s">
        <v>145</v>
      </c>
      <c r="B141" s="25" t="s">
        <v>85</v>
      </c>
      <c r="C141" s="39">
        <v>314</v>
      </c>
      <c r="D141" s="9">
        <v>41413</v>
      </c>
      <c r="E141" s="12" t="s">
        <v>62</v>
      </c>
      <c r="F141" s="12" t="s">
        <v>25</v>
      </c>
      <c r="G141" s="10">
        <v>5775.99</v>
      </c>
      <c r="H141" s="10">
        <v>584.82000000000005</v>
      </c>
      <c r="I141" s="10">
        <v>360999.37</v>
      </c>
      <c r="J141" s="62">
        <v>1</v>
      </c>
      <c r="L141" s="11"/>
      <c r="M141" s="11"/>
      <c r="N141" s="124"/>
      <c r="O141" s="125"/>
    </row>
    <row r="142" spans="1:15">
      <c r="A142" s="15" t="s">
        <v>145</v>
      </c>
      <c r="B142" s="25" t="s">
        <v>85</v>
      </c>
      <c r="C142" s="39">
        <v>902</v>
      </c>
      <c r="D142" s="9">
        <v>41413</v>
      </c>
      <c r="E142" s="12" t="s">
        <v>62</v>
      </c>
      <c r="F142" s="12" t="s">
        <v>25</v>
      </c>
      <c r="G142" s="10">
        <v>5537.15</v>
      </c>
      <c r="H142" s="10">
        <v>3841.4</v>
      </c>
      <c r="I142" s="10">
        <v>346072</v>
      </c>
      <c r="J142" s="62">
        <v>1</v>
      </c>
      <c r="L142" s="11"/>
      <c r="M142" s="11"/>
      <c r="N142" s="124"/>
      <c r="O142" s="125"/>
    </row>
    <row r="143" spans="1:15">
      <c r="A143" s="15" t="s">
        <v>145</v>
      </c>
      <c r="B143" s="25" t="s">
        <v>85</v>
      </c>
      <c r="C143" s="39">
        <v>912</v>
      </c>
      <c r="D143" s="9">
        <v>41417</v>
      </c>
      <c r="E143" s="12" t="s">
        <v>62</v>
      </c>
      <c r="F143" s="12" t="s">
        <v>25</v>
      </c>
      <c r="G143" s="10">
        <v>5316.53</v>
      </c>
      <c r="H143" s="10">
        <v>3688.34</v>
      </c>
      <c r="I143" s="10">
        <v>332283.03999999998</v>
      </c>
      <c r="J143" s="62">
        <v>0.5</v>
      </c>
      <c r="L143" s="11"/>
      <c r="M143" s="11"/>
      <c r="N143" s="124"/>
      <c r="O143" s="125"/>
    </row>
    <row r="144" spans="1:15">
      <c r="A144" s="15" t="s">
        <v>145</v>
      </c>
      <c r="B144" s="25" t="s">
        <v>85</v>
      </c>
      <c r="C144" s="39">
        <v>1207</v>
      </c>
      <c r="D144" s="9">
        <v>41414</v>
      </c>
      <c r="E144" s="12" t="s">
        <v>62</v>
      </c>
      <c r="F144" s="12" t="s">
        <v>25</v>
      </c>
      <c r="G144" s="10">
        <v>5884.68</v>
      </c>
      <c r="H144" s="10">
        <v>4082.5</v>
      </c>
      <c r="I144" s="10">
        <v>367792.39</v>
      </c>
      <c r="J144" s="62">
        <v>1</v>
      </c>
      <c r="L144" s="11"/>
      <c r="M144" s="11"/>
      <c r="N144" s="124"/>
      <c r="O144" s="125"/>
    </row>
    <row r="145" spans="1:15">
      <c r="A145" s="15" t="s">
        <v>145</v>
      </c>
      <c r="B145" s="25" t="s">
        <v>85</v>
      </c>
      <c r="C145" s="39">
        <v>1513</v>
      </c>
      <c r="D145" s="9">
        <v>41413</v>
      </c>
      <c r="E145" s="12" t="s">
        <v>62</v>
      </c>
      <c r="F145" s="12" t="s">
        <v>25</v>
      </c>
      <c r="G145" s="10">
        <v>7683.2</v>
      </c>
      <c r="H145" s="10">
        <v>5330.22</v>
      </c>
      <c r="I145" s="10">
        <v>480200</v>
      </c>
      <c r="J145" s="62">
        <v>1</v>
      </c>
      <c r="L145" s="123" t="str">
        <f>E146</f>
        <v>ENZO</v>
      </c>
      <c r="M145" s="123" t="s">
        <v>27</v>
      </c>
      <c r="N145" s="124">
        <f>I146</f>
        <v>370981.31</v>
      </c>
      <c r="O145" s="125">
        <f>J146</f>
        <v>1</v>
      </c>
    </row>
    <row r="146" spans="1:15">
      <c r="A146" s="15" t="s">
        <v>145</v>
      </c>
      <c r="B146" s="25" t="s">
        <v>85</v>
      </c>
      <c r="C146" s="39">
        <v>1602</v>
      </c>
      <c r="D146" s="9">
        <v>41413</v>
      </c>
      <c r="E146" s="12" t="s">
        <v>62</v>
      </c>
      <c r="F146" s="12" t="s">
        <v>25</v>
      </c>
      <c r="G146" s="10">
        <v>5935.7</v>
      </c>
      <c r="H146" s="10">
        <v>4117.8900000000003</v>
      </c>
      <c r="I146" s="10">
        <v>370981.31</v>
      </c>
      <c r="J146" s="62">
        <v>1</v>
      </c>
      <c r="L146" s="123" t="str">
        <f>E147</f>
        <v>ENZO</v>
      </c>
      <c r="M146" s="123" t="s">
        <v>23</v>
      </c>
      <c r="N146" s="124">
        <f>SUM(I147:I153)</f>
        <v>4171477.0500000003</v>
      </c>
      <c r="O146" s="125">
        <f>SUM(J147:J153)</f>
        <v>7</v>
      </c>
    </row>
    <row r="147" spans="1:15">
      <c r="A147" s="15" t="s">
        <v>145</v>
      </c>
      <c r="B147" s="25" t="s">
        <v>85</v>
      </c>
      <c r="C147" s="39">
        <v>2508</v>
      </c>
      <c r="D147" s="9">
        <v>41408</v>
      </c>
      <c r="E147" s="12" t="s">
        <v>62</v>
      </c>
      <c r="F147" s="12" t="s">
        <v>25</v>
      </c>
      <c r="G147" s="10">
        <v>6996.8</v>
      </c>
      <c r="H147" s="10">
        <v>4854.03</v>
      </c>
      <c r="I147" s="10">
        <v>437300</v>
      </c>
      <c r="J147" s="62">
        <v>1</v>
      </c>
      <c r="L147" s="11"/>
      <c r="M147" s="11"/>
      <c r="N147" s="124"/>
      <c r="O147" s="125"/>
    </row>
    <row r="148" spans="1:15">
      <c r="A148" s="15" t="s">
        <v>145</v>
      </c>
      <c r="B148" s="25" t="s">
        <v>85</v>
      </c>
      <c r="C148" s="39">
        <v>1202</v>
      </c>
      <c r="D148" s="9">
        <v>41441</v>
      </c>
      <c r="E148" s="12" t="s">
        <v>62</v>
      </c>
      <c r="F148" s="12" t="s">
        <v>25</v>
      </c>
      <c r="G148" s="10">
        <v>4979.8599999999997</v>
      </c>
      <c r="H148" s="10">
        <v>3454.78</v>
      </c>
      <c r="I148" s="10">
        <v>311241.55</v>
      </c>
      <c r="J148" s="62">
        <v>1</v>
      </c>
      <c r="L148" s="11"/>
      <c r="M148" s="11"/>
      <c r="N148" s="124"/>
      <c r="O148" s="125"/>
    </row>
    <row r="149" spans="1:15">
      <c r="A149" s="15" t="s">
        <v>54</v>
      </c>
      <c r="B149" s="25" t="s">
        <v>58</v>
      </c>
      <c r="C149" s="39">
        <v>181</v>
      </c>
      <c r="D149" s="9">
        <v>41346</v>
      </c>
      <c r="E149" s="12" t="s">
        <v>59</v>
      </c>
      <c r="F149" s="12" t="s">
        <v>25</v>
      </c>
      <c r="G149" s="10">
        <f>I149*0.4%</f>
        <v>3400</v>
      </c>
      <c r="H149" s="10"/>
      <c r="I149" s="10">
        <v>850000</v>
      </c>
      <c r="J149" s="34">
        <v>1</v>
      </c>
      <c r="L149" s="11"/>
      <c r="M149" s="11"/>
      <c r="N149" s="124"/>
      <c r="O149" s="125"/>
    </row>
    <row r="150" spans="1:15">
      <c r="A150" s="15" t="s">
        <v>54</v>
      </c>
      <c r="B150" s="25" t="s">
        <v>58</v>
      </c>
      <c r="C150" s="39">
        <v>192</v>
      </c>
      <c r="D150" s="12">
        <v>41370</v>
      </c>
      <c r="E150" s="12" t="s">
        <v>59</v>
      </c>
      <c r="F150" s="12" t="s">
        <v>25</v>
      </c>
      <c r="G150" s="10">
        <f>I150*2%</f>
        <v>17246.191200000001</v>
      </c>
      <c r="H150" s="10"/>
      <c r="I150" s="10">
        <v>862309.56</v>
      </c>
      <c r="J150" s="34">
        <v>1</v>
      </c>
      <c r="L150" s="11"/>
      <c r="M150" s="11"/>
      <c r="N150" s="124"/>
      <c r="O150" s="125"/>
    </row>
    <row r="151" spans="1:15">
      <c r="A151" s="15" t="s">
        <v>270</v>
      </c>
      <c r="B151" s="25" t="s">
        <v>271</v>
      </c>
      <c r="C151" s="39">
        <v>83</v>
      </c>
      <c r="D151" s="9">
        <v>41451</v>
      </c>
      <c r="E151" s="12" t="s">
        <v>59</v>
      </c>
      <c r="F151" s="12" t="s">
        <v>25</v>
      </c>
      <c r="G151" s="10">
        <v>8396.19</v>
      </c>
      <c r="H151" s="10">
        <v>4250.57</v>
      </c>
      <c r="I151" s="10">
        <v>524761.81000000006</v>
      </c>
      <c r="J151" s="62">
        <v>1</v>
      </c>
      <c r="L151" s="11"/>
      <c r="M151" s="11"/>
      <c r="N151" s="124"/>
      <c r="O151" s="125"/>
    </row>
    <row r="152" spans="1:15">
      <c r="A152" s="15" t="s">
        <v>270</v>
      </c>
      <c r="B152" s="25" t="s">
        <v>272</v>
      </c>
      <c r="C152" s="39">
        <v>33</v>
      </c>
      <c r="D152" s="9">
        <v>41453</v>
      </c>
      <c r="E152" s="12" t="s">
        <v>59</v>
      </c>
      <c r="F152" s="12" t="s">
        <v>25</v>
      </c>
      <c r="G152" s="10">
        <v>9452.3700000000008</v>
      </c>
      <c r="H152" s="10">
        <v>4785.26</v>
      </c>
      <c r="I152" s="10">
        <v>590773.03</v>
      </c>
      <c r="J152" s="62">
        <v>1</v>
      </c>
      <c r="L152" s="11"/>
      <c r="M152" s="11"/>
      <c r="N152" s="124"/>
      <c r="O152" s="125"/>
    </row>
    <row r="153" spans="1:15">
      <c r="A153" s="15" t="s">
        <v>120</v>
      </c>
      <c r="B153" s="25" t="s">
        <v>113</v>
      </c>
      <c r="C153" s="39">
        <v>32</v>
      </c>
      <c r="D153" s="9">
        <v>41323</v>
      </c>
      <c r="E153" s="12" t="s">
        <v>46</v>
      </c>
      <c r="F153" s="12" t="s">
        <v>25</v>
      </c>
      <c r="G153" s="10">
        <v>9521.4599999999991</v>
      </c>
      <c r="H153" s="10">
        <v>0</v>
      </c>
      <c r="I153" s="10">
        <v>595091.1</v>
      </c>
      <c r="J153" s="34">
        <v>1</v>
      </c>
      <c r="L153" s="123" t="str">
        <f>E154</f>
        <v>GREGORIO</v>
      </c>
      <c r="M153" s="123" t="s">
        <v>27</v>
      </c>
      <c r="N153" s="124">
        <f>SUM(I154:I155)</f>
        <v>388000.01</v>
      </c>
      <c r="O153" s="125">
        <f>SUM(J154:J155)</f>
        <v>2</v>
      </c>
    </row>
    <row r="154" spans="1:15">
      <c r="A154" s="15" t="s">
        <v>114</v>
      </c>
      <c r="B154" s="25" t="s">
        <v>137</v>
      </c>
      <c r="C154" s="39">
        <v>106</v>
      </c>
      <c r="D154" s="9">
        <v>41295</v>
      </c>
      <c r="E154" s="12" t="s">
        <v>31</v>
      </c>
      <c r="F154" s="12" t="s">
        <v>25</v>
      </c>
      <c r="G154" s="10">
        <v>3281</v>
      </c>
      <c r="H154" s="10">
        <f>3281-G154</f>
        <v>0</v>
      </c>
      <c r="I154" s="10">
        <v>193000.01</v>
      </c>
      <c r="J154" s="34">
        <v>1</v>
      </c>
      <c r="L154" s="11"/>
      <c r="M154" s="11"/>
      <c r="N154" s="124"/>
      <c r="O154" s="125"/>
    </row>
    <row r="155" spans="1:15">
      <c r="A155" s="15" t="s">
        <v>230</v>
      </c>
      <c r="B155" s="25" t="s">
        <v>245</v>
      </c>
      <c r="C155" s="39">
        <v>132</v>
      </c>
      <c r="D155" s="12">
        <v>41326</v>
      </c>
      <c r="E155" s="12" t="s">
        <v>31</v>
      </c>
      <c r="F155" s="12" t="s">
        <v>25</v>
      </c>
      <c r="G155" s="10">
        <f>I155*0.5%</f>
        <v>975</v>
      </c>
      <c r="H155" s="10">
        <f>3900-G155</f>
        <v>2925</v>
      </c>
      <c r="I155" s="10">
        <v>195000</v>
      </c>
      <c r="J155" s="34">
        <v>1</v>
      </c>
      <c r="L155" s="123" t="str">
        <f>E156</f>
        <v>GREGORIO</v>
      </c>
      <c r="M155" s="123" t="s">
        <v>61</v>
      </c>
      <c r="N155" s="124">
        <f>SUM(I156:I162)</f>
        <v>4505773.21</v>
      </c>
      <c r="O155" s="125">
        <f>SUM(J156:J162)</f>
        <v>7</v>
      </c>
    </row>
    <row r="156" spans="1:15">
      <c r="A156" s="15" t="s">
        <v>230</v>
      </c>
      <c r="B156" s="25" t="s">
        <v>231</v>
      </c>
      <c r="C156" s="39">
        <v>104</v>
      </c>
      <c r="D156" s="9">
        <v>41340</v>
      </c>
      <c r="E156" s="12" t="s">
        <v>31</v>
      </c>
      <c r="F156" s="12" t="s">
        <v>25</v>
      </c>
      <c r="G156" s="10">
        <f>I156*1.7%</f>
        <v>4096.3339400000004</v>
      </c>
      <c r="H156" s="10"/>
      <c r="I156" s="10">
        <v>240960.82</v>
      </c>
      <c r="J156" s="34">
        <v>1</v>
      </c>
      <c r="L156" s="11"/>
      <c r="M156" s="11"/>
      <c r="N156" s="124"/>
      <c r="O156" s="125"/>
    </row>
    <row r="157" spans="1:15">
      <c r="A157" s="15" t="s">
        <v>270</v>
      </c>
      <c r="B157" s="25" t="s">
        <v>278</v>
      </c>
      <c r="C157" s="39">
        <v>34</v>
      </c>
      <c r="D157" s="9">
        <v>41455</v>
      </c>
      <c r="E157" s="12" t="s">
        <v>304</v>
      </c>
      <c r="F157" s="12" t="s">
        <v>25</v>
      </c>
      <c r="G157" s="10">
        <v>10142.64</v>
      </c>
      <c r="H157" s="10">
        <v>5134.71</v>
      </c>
      <c r="I157" s="10">
        <v>633914.91</v>
      </c>
      <c r="J157" s="62">
        <v>1</v>
      </c>
      <c r="L157" s="11"/>
      <c r="M157" s="11"/>
      <c r="N157" s="124"/>
      <c r="O157" s="125"/>
    </row>
    <row r="158" spans="1:15">
      <c r="A158" s="15" t="s">
        <v>270</v>
      </c>
      <c r="B158" s="25" t="s">
        <v>271</v>
      </c>
      <c r="C158" s="39">
        <v>74</v>
      </c>
      <c r="D158" s="9">
        <v>41451</v>
      </c>
      <c r="E158" s="12" t="s">
        <v>302</v>
      </c>
      <c r="F158" s="12" t="s">
        <v>25</v>
      </c>
      <c r="G158" s="10">
        <v>6451.27</v>
      </c>
      <c r="H158" s="10">
        <v>3265.96</v>
      </c>
      <c r="I158" s="10">
        <v>403204.43</v>
      </c>
      <c r="J158" s="34">
        <v>1</v>
      </c>
      <c r="L158" s="11"/>
      <c r="M158" s="11"/>
      <c r="N158" s="124"/>
      <c r="O158" s="125"/>
    </row>
    <row r="159" spans="1:15">
      <c r="A159" s="15" t="s">
        <v>270</v>
      </c>
      <c r="B159" s="25" t="s">
        <v>272</v>
      </c>
      <c r="C159" s="39">
        <v>64</v>
      </c>
      <c r="D159" s="9">
        <v>41450</v>
      </c>
      <c r="E159" s="12" t="s">
        <v>302</v>
      </c>
      <c r="F159" s="12" t="s">
        <v>25</v>
      </c>
      <c r="G159" s="10">
        <v>10659.52</v>
      </c>
      <c r="H159" s="10">
        <v>5396.38</v>
      </c>
      <c r="I159" s="10">
        <v>666220.05000000005</v>
      </c>
      <c r="J159" s="34">
        <v>1</v>
      </c>
      <c r="L159" s="11"/>
      <c r="M159" s="11"/>
      <c r="N159" s="124"/>
      <c r="O159" s="125"/>
    </row>
    <row r="160" spans="1:15">
      <c r="A160" s="15" t="s">
        <v>270</v>
      </c>
      <c r="B160" s="25" t="s">
        <v>273</v>
      </c>
      <c r="C160" s="39">
        <v>58</v>
      </c>
      <c r="D160" s="9">
        <v>41452</v>
      </c>
      <c r="E160" s="12" t="s">
        <v>302</v>
      </c>
      <c r="F160" s="12" t="s">
        <v>25</v>
      </c>
      <c r="G160" s="10">
        <v>6103.57</v>
      </c>
      <c r="H160" s="10">
        <v>3089.93</v>
      </c>
      <c r="I160" s="10">
        <v>381473</v>
      </c>
      <c r="J160" s="34">
        <v>1</v>
      </c>
      <c r="L160" s="11"/>
      <c r="M160" s="11"/>
      <c r="N160" s="124"/>
      <c r="O160" s="125"/>
    </row>
    <row r="161" spans="1:15">
      <c r="A161" s="15" t="s">
        <v>270</v>
      </c>
      <c r="B161" s="25" t="s">
        <v>201</v>
      </c>
      <c r="C161" s="42" t="s">
        <v>303</v>
      </c>
      <c r="D161" s="9">
        <v>41451</v>
      </c>
      <c r="E161" s="12" t="s">
        <v>302</v>
      </c>
      <c r="F161" s="12" t="s">
        <v>25</v>
      </c>
      <c r="G161" s="10">
        <v>480</v>
      </c>
      <c r="H161" s="10">
        <v>0</v>
      </c>
      <c r="I161" s="10">
        <v>30000</v>
      </c>
      <c r="J161" s="62">
        <v>1</v>
      </c>
      <c r="L161" s="11"/>
      <c r="M161" s="11"/>
      <c r="N161" s="124"/>
      <c r="O161" s="125"/>
    </row>
    <row r="162" spans="1:15">
      <c r="A162" s="15" t="s">
        <v>89</v>
      </c>
      <c r="B162" s="25" t="s">
        <v>85</v>
      </c>
      <c r="C162" s="39">
        <v>51</v>
      </c>
      <c r="D162" s="9">
        <v>41411</v>
      </c>
      <c r="E162" s="12" t="s">
        <v>173</v>
      </c>
      <c r="F162" s="12" t="s">
        <v>25</v>
      </c>
      <c r="G162" s="10">
        <v>43000</v>
      </c>
      <c r="H162" s="10">
        <v>23865</v>
      </c>
      <c r="I162" s="10">
        <v>2150000</v>
      </c>
      <c r="J162" s="62">
        <v>1</v>
      </c>
      <c r="L162" s="123" t="str">
        <f>E163</f>
        <v>LEANDRO</v>
      </c>
      <c r="M162" s="123" t="s">
        <v>26</v>
      </c>
      <c r="N162" s="124">
        <f>SUM(I163:I164)</f>
        <v>1564500</v>
      </c>
      <c r="O162" s="125">
        <f>SUM(J163:J164)</f>
        <v>1.5</v>
      </c>
    </row>
    <row r="163" spans="1:15">
      <c r="A163" s="15" t="s">
        <v>89</v>
      </c>
      <c r="B163" s="25" t="s">
        <v>85</v>
      </c>
      <c r="C163" s="39">
        <v>192</v>
      </c>
      <c r="D163" s="9">
        <v>41425</v>
      </c>
      <c r="E163" s="12" t="s">
        <v>173</v>
      </c>
      <c r="F163" s="12" t="s">
        <v>25</v>
      </c>
      <c r="G163" s="10">
        <v>24000</v>
      </c>
      <c r="H163" s="10">
        <v>13320</v>
      </c>
      <c r="I163" s="10">
        <v>1200000</v>
      </c>
      <c r="J163" s="62">
        <v>0.5</v>
      </c>
      <c r="L163" s="11"/>
      <c r="M163" s="11"/>
      <c r="N163" s="124"/>
      <c r="O163" s="125"/>
    </row>
    <row r="164" spans="1:15">
      <c r="A164" s="15" t="s">
        <v>233</v>
      </c>
      <c r="B164" s="25" t="s">
        <v>113</v>
      </c>
      <c r="C164" s="39">
        <v>158</v>
      </c>
      <c r="D164" s="9">
        <v>41324</v>
      </c>
      <c r="E164" s="12" t="s">
        <v>48</v>
      </c>
      <c r="F164" s="12" t="s">
        <v>25</v>
      </c>
      <c r="G164" s="10">
        <f>I164*2%</f>
        <v>7290</v>
      </c>
      <c r="H164" s="10">
        <f>16038-G164</f>
        <v>8748</v>
      </c>
      <c r="I164" s="10">
        <v>364500</v>
      </c>
      <c r="J164" s="34">
        <v>1</v>
      </c>
      <c r="L164" s="123" t="str">
        <f>E165</f>
        <v>LIBERATO</v>
      </c>
      <c r="M164" s="123" t="s">
        <v>61</v>
      </c>
      <c r="N164" s="124">
        <f>I165</f>
        <v>373011.03</v>
      </c>
      <c r="O164" s="125">
        <f>J165</f>
        <v>1</v>
      </c>
    </row>
    <row r="165" spans="1:15">
      <c r="A165" s="15" t="s">
        <v>233</v>
      </c>
      <c r="B165" s="25" t="s">
        <v>225</v>
      </c>
      <c r="C165" s="39">
        <v>54</v>
      </c>
      <c r="D165" s="12">
        <v>41352</v>
      </c>
      <c r="E165" s="12" t="s">
        <v>48</v>
      </c>
      <c r="F165" s="12" t="s">
        <v>25</v>
      </c>
      <c r="G165" s="10">
        <f>I165*2%</f>
        <v>7460.2206000000006</v>
      </c>
      <c r="H165" s="10"/>
      <c r="I165" s="10">
        <v>373011.03</v>
      </c>
      <c r="J165" s="34">
        <v>1</v>
      </c>
      <c r="L165" s="123" t="str">
        <f>E166</f>
        <v>LIBERATO</v>
      </c>
      <c r="M165" s="123" t="s">
        <v>23</v>
      </c>
      <c r="N165" s="124">
        <f>SUM(I166:I170)</f>
        <v>1695327.4600000002</v>
      </c>
      <c r="O165" s="125">
        <f>SUM(J166:J170)</f>
        <v>4</v>
      </c>
    </row>
    <row r="166" spans="1:15">
      <c r="A166" s="15" t="s">
        <v>233</v>
      </c>
      <c r="B166" s="25" t="s">
        <v>225</v>
      </c>
      <c r="C166" s="39">
        <v>124</v>
      </c>
      <c r="D166" s="12">
        <v>41354</v>
      </c>
      <c r="E166" s="12" t="s">
        <v>48</v>
      </c>
      <c r="F166" s="12" t="s">
        <v>25</v>
      </c>
      <c r="G166" s="10">
        <f>I166*2%</f>
        <v>7594.7</v>
      </c>
      <c r="H166" s="10"/>
      <c r="I166" s="10">
        <v>379735</v>
      </c>
      <c r="J166" s="34">
        <v>1</v>
      </c>
      <c r="L166" s="11"/>
      <c r="M166" s="11"/>
      <c r="N166" s="124"/>
      <c r="O166" s="125"/>
    </row>
    <row r="167" spans="1:15">
      <c r="A167" s="15" t="s">
        <v>233</v>
      </c>
      <c r="B167" s="25" t="s">
        <v>85</v>
      </c>
      <c r="C167" s="39">
        <v>166</v>
      </c>
      <c r="D167" s="9">
        <v>41360</v>
      </c>
      <c r="E167" s="12" t="s">
        <v>48</v>
      </c>
      <c r="F167" s="12" t="s">
        <v>25</v>
      </c>
      <c r="G167" s="10">
        <v>16676</v>
      </c>
      <c r="H167" s="10"/>
      <c r="I167" s="10">
        <v>379000</v>
      </c>
      <c r="J167" s="62">
        <v>1</v>
      </c>
      <c r="L167" s="11"/>
      <c r="M167" s="11"/>
      <c r="N167" s="124"/>
      <c r="O167" s="125"/>
    </row>
    <row r="168" spans="1:15">
      <c r="A168" s="15" t="s">
        <v>145</v>
      </c>
      <c r="B168" s="25" t="s">
        <v>85</v>
      </c>
      <c r="C168" s="39">
        <v>912</v>
      </c>
      <c r="D168" s="9">
        <v>41417</v>
      </c>
      <c r="E168" s="12" t="s">
        <v>48</v>
      </c>
      <c r="F168" s="12" t="s">
        <v>25</v>
      </c>
      <c r="G168" s="10">
        <v>5316.53</v>
      </c>
      <c r="H168" s="10">
        <v>3688.34</v>
      </c>
      <c r="I168" s="10">
        <v>332283.03999999998</v>
      </c>
      <c r="J168" s="62">
        <v>0.5</v>
      </c>
      <c r="L168" s="11"/>
      <c r="M168" s="11"/>
      <c r="N168" s="124"/>
      <c r="O168" s="125"/>
    </row>
    <row r="169" spans="1:15">
      <c r="A169" s="15" t="s">
        <v>145</v>
      </c>
      <c r="B169" s="25" t="s">
        <v>85</v>
      </c>
      <c r="C169" s="42">
        <v>1006</v>
      </c>
      <c r="D169" s="9">
        <v>41417</v>
      </c>
      <c r="E169" s="12" t="s">
        <v>48</v>
      </c>
      <c r="F169" s="12" t="s">
        <v>25</v>
      </c>
      <c r="G169" s="10">
        <v>6208.56</v>
      </c>
      <c r="H169" s="10">
        <v>4307.1899999999996</v>
      </c>
      <c r="I169" s="10">
        <v>388035.08</v>
      </c>
      <c r="J169" s="62">
        <v>1</v>
      </c>
      <c r="L169" s="11"/>
      <c r="M169" s="11"/>
      <c r="N169" s="124"/>
      <c r="O169" s="125"/>
    </row>
    <row r="170" spans="1:15">
      <c r="A170" s="15" t="s">
        <v>124</v>
      </c>
      <c r="B170" s="25" t="s">
        <v>85</v>
      </c>
      <c r="C170" s="39">
        <v>612</v>
      </c>
      <c r="D170" s="12">
        <v>41343</v>
      </c>
      <c r="E170" s="12" t="s">
        <v>63</v>
      </c>
      <c r="F170" s="12" t="s">
        <v>25</v>
      </c>
      <c r="G170" s="10">
        <v>5861.03</v>
      </c>
      <c r="H170" s="10"/>
      <c r="I170" s="10">
        <v>216274.34</v>
      </c>
      <c r="J170" s="34">
        <v>0.5</v>
      </c>
      <c r="L170" s="123" t="str">
        <f>E171</f>
        <v>MITUI</v>
      </c>
      <c r="M170" s="123" t="s">
        <v>25</v>
      </c>
      <c r="N170" s="124">
        <f>SUM(I171:I174)</f>
        <v>1716641.8900000001</v>
      </c>
      <c r="O170" s="125">
        <f>SUM(J171:J174)</f>
        <v>3.5</v>
      </c>
    </row>
    <row r="171" spans="1:15">
      <c r="A171" s="15" t="s">
        <v>124</v>
      </c>
      <c r="B171" s="25" t="s">
        <v>85</v>
      </c>
      <c r="C171" s="39">
        <v>1104</v>
      </c>
      <c r="D171" s="9">
        <v>41343</v>
      </c>
      <c r="E171" s="12" t="s">
        <v>63</v>
      </c>
      <c r="F171" s="12" t="s">
        <v>25</v>
      </c>
      <c r="G171" s="10">
        <v>13061.57</v>
      </c>
      <c r="H171" s="10"/>
      <c r="I171" s="10">
        <v>481976.8</v>
      </c>
      <c r="J171" s="34">
        <v>1</v>
      </c>
      <c r="L171" s="11"/>
      <c r="M171" s="11"/>
      <c r="N171" s="124"/>
      <c r="O171" s="125"/>
    </row>
    <row r="172" spans="1:15">
      <c r="A172" s="15" t="s">
        <v>145</v>
      </c>
      <c r="B172" s="25" t="s">
        <v>85</v>
      </c>
      <c r="C172" s="39">
        <v>506</v>
      </c>
      <c r="D172" s="9">
        <v>41403</v>
      </c>
      <c r="E172" s="12" t="s">
        <v>63</v>
      </c>
      <c r="F172" s="12" t="s">
        <v>25</v>
      </c>
      <c r="G172" s="10">
        <v>5791.01</v>
      </c>
      <c r="H172" s="10">
        <v>4017.51</v>
      </c>
      <c r="I172" s="10">
        <v>361938</v>
      </c>
      <c r="J172" s="62">
        <v>1</v>
      </c>
      <c r="L172" s="11"/>
      <c r="M172" s="11"/>
      <c r="N172" s="124"/>
      <c r="O172" s="125"/>
    </row>
    <row r="173" spans="1:15">
      <c r="A173" s="15" t="s">
        <v>145</v>
      </c>
      <c r="B173" s="25" t="s">
        <v>85</v>
      </c>
      <c r="C173" s="39">
        <v>1110</v>
      </c>
      <c r="D173" s="9">
        <v>41413</v>
      </c>
      <c r="E173" s="12" t="s">
        <v>63</v>
      </c>
      <c r="F173" s="12" t="s">
        <v>25</v>
      </c>
      <c r="G173" s="10">
        <v>2844.8</v>
      </c>
      <c r="H173" s="10">
        <v>1973.58</v>
      </c>
      <c r="I173" s="10">
        <v>177799.85</v>
      </c>
      <c r="J173" s="62">
        <v>0.5</v>
      </c>
      <c r="L173" s="11"/>
      <c r="M173" s="11"/>
      <c r="N173" s="124"/>
      <c r="O173" s="125"/>
    </row>
    <row r="174" spans="1:15">
      <c r="A174" s="15" t="s">
        <v>145</v>
      </c>
      <c r="B174" s="25" t="s">
        <v>85</v>
      </c>
      <c r="C174" s="39">
        <v>2105</v>
      </c>
      <c r="D174" s="9">
        <v>41413</v>
      </c>
      <c r="E174" s="12" t="s">
        <v>63</v>
      </c>
      <c r="F174" s="12" t="s">
        <v>25</v>
      </c>
      <c r="G174" s="10">
        <v>11118.84</v>
      </c>
      <c r="H174" s="10">
        <v>7713.69</v>
      </c>
      <c r="I174" s="10">
        <v>694927.24</v>
      </c>
      <c r="J174" s="62">
        <v>1</v>
      </c>
      <c r="L174" s="123" t="str">
        <f>E175</f>
        <v>MITUI</v>
      </c>
      <c r="M174" s="123" t="s">
        <v>27</v>
      </c>
      <c r="N174" s="124">
        <f>SUM(I175:I179)</f>
        <v>1770137.3699999999</v>
      </c>
      <c r="O174" s="125">
        <f>SUM(J175:J179)</f>
        <v>4</v>
      </c>
    </row>
    <row r="175" spans="1:15">
      <c r="A175" s="15" t="s">
        <v>270</v>
      </c>
      <c r="B175" s="25" t="s">
        <v>273</v>
      </c>
      <c r="C175" s="39">
        <v>62</v>
      </c>
      <c r="D175" s="9">
        <v>41451</v>
      </c>
      <c r="E175" s="12" t="s">
        <v>63</v>
      </c>
      <c r="F175" s="12" t="s">
        <v>25</v>
      </c>
      <c r="G175" s="10">
        <v>3936.26</v>
      </c>
      <c r="H175" s="10">
        <v>1992.73</v>
      </c>
      <c r="I175" s="10">
        <v>246016</v>
      </c>
      <c r="J175" s="34">
        <v>0.5</v>
      </c>
      <c r="L175" s="11"/>
      <c r="M175" s="11"/>
      <c r="N175" s="124"/>
      <c r="O175" s="125"/>
    </row>
    <row r="176" spans="1:15">
      <c r="A176" s="15" t="s">
        <v>270</v>
      </c>
      <c r="B176" s="25" t="s">
        <v>273</v>
      </c>
      <c r="C176" s="39">
        <v>82</v>
      </c>
      <c r="D176" s="9">
        <v>41451</v>
      </c>
      <c r="E176" s="12" t="s">
        <v>63</v>
      </c>
      <c r="F176" s="12" t="s">
        <v>25</v>
      </c>
      <c r="G176" s="10">
        <v>5151.51</v>
      </c>
      <c r="H176" s="10">
        <v>0</v>
      </c>
      <c r="I176" s="10">
        <v>321969.43</v>
      </c>
      <c r="J176" s="34">
        <v>0.5</v>
      </c>
      <c r="L176" s="11"/>
      <c r="M176" s="11"/>
      <c r="N176" s="124"/>
      <c r="O176" s="125"/>
    </row>
    <row r="177" spans="1:15">
      <c r="A177" s="15" t="s">
        <v>124</v>
      </c>
      <c r="B177" s="25" t="s">
        <v>85</v>
      </c>
      <c r="C177" s="39">
        <v>907</v>
      </c>
      <c r="D177" s="9">
        <v>41343</v>
      </c>
      <c r="E177" s="12" t="s">
        <v>313</v>
      </c>
      <c r="F177" s="12" t="s">
        <v>25</v>
      </c>
      <c r="G177" s="10">
        <v>12979.06</v>
      </c>
      <c r="H177" s="10"/>
      <c r="I177" s="10">
        <v>478931.95</v>
      </c>
      <c r="J177" s="34">
        <v>1</v>
      </c>
      <c r="L177" s="11"/>
      <c r="M177" s="11"/>
      <c r="N177" s="124"/>
      <c r="O177" s="125"/>
    </row>
    <row r="178" spans="1:15">
      <c r="A178" s="15" t="s">
        <v>124</v>
      </c>
      <c r="B178" s="25" t="s">
        <v>85</v>
      </c>
      <c r="C178" s="39">
        <v>908</v>
      </c>
      <c r="D178" s="9">
        <v>41343</v>
      </c>
      <c r="E178" s="12" t="s">
        <v>313</v>
      </c>
      <c r="F178" s="12" t="s">
        <v>25</v>
      </c>
      <c r="G178" s="10">
        <v>13230.76</v>
      </c>
      <c r="H178" s="10"/>
      <c r="I178" s="10">
        <v>488219.99</v>
      </c>
      <c r="J178" s="34">
        <v>1</v>
      </c>
      <c r="L178" s="11"/>
      <c r="M178" s="11"/>
      <c r="N178" s="124"/>
      <c r="O178" s="125"/>
    </row>
    <row r="179" spans="1:15">
      <c r="A179" s="15" t="s">
        <v>204</v>
      </c>
      <c r="B179" s="25" t="s">
        <v>211</v>
      </c>
      <c r="C179" s="39">
        <v>45</v>
      </c>
      <c r="D179" s="12">
        <v>41373</v>
      </c>
      <c r="E179" s="12" t="s">
        <v>313</v>
      </c>
      <c r="F179" s="12" t="s">
        <v>25</v>
      </c>
      <c r="G179" s="10">
        <f>I179*2%</f>
        <v>4700</v>
      </c>
      <c r="H179" s="10"/>
      <c r="I179" s="10">
        <v>235000</v>
      </c>
      <c r="J179" s="34">
        <v>1</v>
      </c>
      <c r="L179" s="123" t="str">
        <f>E180</f>
        <v>THIAGO</v>
      </c>
      <c r="M179" s="123" t="s">
        <v>23</v>
      </c>
      <c r="N179" s="124">
        <f>SUM(I180:I184)</f>
        <v>1873641.75</v>
      </c>
      <c r="O179" s="125">
        <f>SUM(J180:J184)</f>
        <v>4.5</v>
      </c>
    </row>
    <row r="180" spans="1:15">
      <c r="A180" s="15" t="s">
        <v>145</v>
      </c>
      <c r="B180" s="25" t="s">
        <v>85</v>
      </c>
      <c r="C180" s="39">
        <v>507</v>
      </c>
      <c r="D180" s="9">
        <v>41413</v>
      </c>
      <c r="E180" s="12" t="s">
        <v>313</v>
      </c>
      <c r="F180" s="12" t="s">
        <v>25</v>
      </c>
      <c r="G180" s="10">
        <v>2863.2</v>
      </c>
      <c r="H180" s="10">
        <v>1986.35</v>
      </c>
      <c r="I180" s="10">
        <v>178950</v>
      </c>
      <c r="J180" s="62">
        <v>0.5</v>
      </c>
      <c r="L180" s="11"/>
      <c r="M180" s="11"/>
      <c r="N180" s="124"/>
      <c r="O180" s="125"/>
    </row>
    <row r="181" spans="1:15">
      <c r="A181" s="15" t="s">
        <v>145</v>
      </c>
      <c r="B181" s="25" t="s">
        <v>85</v>
      </c>
      <c r="C181" s="39">
        <v>1203</v>
      </c>
      <c r="D181" s="9">
        <v>41413</v>
      </c>
      <c r="E181" s="12" t="s">
        <v>313</v>
      </c>
      <c r="F181" s="12" t="s">
        <v>25</v>
      </c>
      <c r="G181" s="10">
        <v>5290.44</v>
      </c>
      <c r="H181" s="10">
        <v>3670.24</v>
      </c>
      <c r="I181" s="10">
        <v>330652.24</v>
      </c>
      <c r="J181" s="62">
        <v>1</v>
      </c>
      <c r="L181" s="123"/>
      <c r="M181" s="123"/>
      <c r="N181" s="124"/>
      <c r="O181" s="125"/>
    </row>
    <row r="182" spans="1:15">
      <c r="A182" s="15" t="s">
        <v>145</v>
      </c>
      <c r="B182" s="25" t="s">
        <v>85</v>
      </c>
      <c r="C182" s="39">
        <v>2009</v>
      </c>
      <c r="D182" s="9">
        <v>41413</v>
      </c>
      <c r="E182" s="12" t="s">
        <v>313</v>
      </c>
      <c r="F182" s="12" t="s">
        <v>25</v>
      </c>
      <c r="G182" s="10">
        <v>7775.03</v>
      </c>
      <c r="H182" s="10">
        <v>5393.93</v>
      </c>
      <c r="I182" s="10">
        <v>485939.51</v>
      </c>
      <c r="J182" s="62">
        <v>1</v>
      </c>
      <c r="L182" s="11"/>
      <c r="M182" s="11"/>
      <c r="N182" s="124"/>
      <c r="O182" s="125"/>
    </row>
    <row r="183" spans="1:15">
      <c r="A183" s="15" t="s">
        <v>208</v>
      </c>
      <c r="B183" s="25" t="s">
        <v>88</v>
      </c>
      <c r="C183" s="42">
        <v>154</v>
      </c>
      <c r="D183" s="9">
        <v>41377</v>
      </c>
      <c r="E183" s="12" t="s">
        <v>44</v>
      </c>
      <c r="F183" s="12" t="s">
        <v>25</v>
      </c>
      <c r="G183" s="10">
        <f>I183*2%</f>
        <v>5102</v>
      </c>
      <c r="H183" s="10"/>
      <c r="I183" s="10">
        <v>255100</v>
      </c>
      <c r="J183" s="62">
        <v>1</v>
      </c>
      <c r="L183" s="11"/>
      <c r="M183" s="11"/>
      <c r="N183" s="124"/>
      <c r="O183" s="125"/>
    </row>
    <row r="184" spans="1:15">
      <c r="A184" s="15" t="s">
        <v>120</v>
      </c>
      <c r="B184" s="25" t="s">
        <v>85</v>
      </c>
      <c r="C184" s="42">
        <v>22</v>
      </c>
      <c r="D184" s="9">
        <v>41413</v>
      </c>
      <c r="E184" s="12" t="s">
        <v>44</v>
      </c>
      <c r="F184" s="12" t="s">
        <v>25</v>
      </c>
      <c r="G184" s="10">
        <v>13917.82</v>
      </c>
      <c r="H184" s="10">
        <v>0</v>
      </c>
      <c r="I184" s="10">
        <v>623000</v>
      </c>
      <c r="J184" s="62">
        <v>1</v>
      </c>
      <c r="L184" s="123" t="str">
        <f>E185</f>
        <v>TONY</v>
      </c>
      <c r="M184" s="123" t="s">
        <v>23</v>
      </c>
      <c r="N184" s="124">
        <f>I185</f>
        <v>564306.81000000006</v>
      </c>
      <c r="O184" s="125">
        <f>J185</f>
        <v>1</v>
      </c>
    </row>
    <row r="185" spans="1:15">
      <c r="A185" s="15" t="s">
        <v>120</v>
      </c>
      <c r="B185" s="25" t="s">
        <v>113</v>
      </c>
      <c r="C185" s="42">
        <v>108</v>
      </c>
      <c r="D185" s="9">
        <v>41402</v>
      </c>
      <c r="E185" s="12" t="s">
        <v>44</v>
      </c>
      <c r="F185" s="12" t="s">
        <v>25</v>
      </c>
      <c r="G185" s="10">
        <f>I185*2%</f>
        <v>11286.136200000001</v>
      </c>
      <c r="H185" s="10">
        <v>0</v>
      </c>
      <c r="I185" s="10">
        <v>564306.81000000006</v>
      </c>
      <c r="J185" s="62">
        <v>1</v>
      </c>
      <c r="L185" s="123" t="str">
        <f>E186</f>
        <v>TONY</v>
      </c>
      <c r="M185" s="123" t="s">
        <v>24</v>
      </c>
      <c r="N185" s="124">
        <f>I186</f>
        <v>35067.599999999999</v>
      </c>
      <c r="O185" s="125">
        <f>J186</f>
        <v>1</v>
      </c>
    </row>
    <row r="186" spans="1:15">
      <c r="A186" s="15" t="s">
        <v>120</v>
      </c>
      <c r="B186" s="25" t="s">
        <v>201</v>
      </c>
      <c r="C186" s="42" t="s">
        <v>202</v>
      </c>
      <c r="D186" s="9">
        <v>41402</v>
      </c>
      <c r="E186" s="12" t="s">
        <v>44</v>
      </c>
      <c r="F186" s="12" t="s">
        <v>25</v>
      </c>
      <c r="G186" s="10">
        <f>I186*2%</f>
        <v>701.35199999999998</v>
      </c>
      <c r="H186" s="10">
        <v>0</v>
      </c>
      <c r="I186" s="10">
        <v>35067.599999999999</v>
      </c>
      <c r="J186" s="62">
        <v>1</v>
      </c>
      <c r="L186" s="123" t="str">
        <f>E187</f>
        <v>VITORIA</v>
      </c>
      <c r="M186" s="123" t="s">
        <v>27</v>
      </c>
      <c r="N186" s="124">
        <f>SUM(I187:I192)</f>
        <v>2810570.4299999997</v>
      </c>
      <c r="O186" s="125">
        <f>SUM(J187:J192)</f>
        <v>6</v>
      </c>
    </row>
    <row r="187" spans="1:15">
      <c r="A187" s="15" t="s">
        <v>145</v>
      </c>
      <c r="B187" s="25" t="s">
        <v>85</v>
      </c>
      <c r="C187" s="42">
        <v>410</v>
      </c>
      <c r="D187" s="9">
        <v>41413</v>
      </c>
      <c r="E187" s="12" t="s">
        <v>163</v>
      </c>
      <c r="F187" s="12" t="s">
        <v>25</v>
      </c>
      <c r="G187" s="10">
        <v>5861.6</v>
      </c>
      <c r="H187" s="10">
        <v>4066.49</v>
      </c>
      <c r="I187" s="10">
        <v>366350</v>
      </c>
      <c r="J187" s="62">
        <v>1</v>
      </c>
      <c r="L187" s="11"/>
      <c r="M187" s="11"/>
      <c r="N187" s="124"/>
      <c r="O187" s="125"/>
    </row>
    <row r="188" spans="1:15">
      <c r="A188" s="15" t="s">
        <v>145</v>
      </c>
      <c r="B188" s="25" t="s">
        <v>85</v>
      </c>
      <c r="C188" s="42">
        <v>503</v>
      </c>
      <c r="D188" s="9">
        <v>41413</v>
      </c>
      <c r="E188" s="12" t="s">
        <v>163</v>
      </c>
      <c r="F188" s="12" t="s">
        <v>25</v>
      </c>
      <c r="G188" s="10">
        <v>5683.2</v>
      </c>
      <c r="H188" s="10">
        <v>3942.72</v>
      </c>
      <c r="I188" s="10">
        <v>355200</v>
      </c>
      <c r="J188" s="62">
        <v>1</v>
      </c>
      <c r="L188" s="11"/>
      <c r="M188" s="11"/>
      <c r="N188" s="124"/>
      <c r="O188" s="125"/>
    </row>
    <row r="189" spans="1:15">
      <c r="A189" s="15" t="s">
        <v>270</v>
      </c>
      <c r="B189" s="25" t="s">
        <v>272</v>
      </c>
      <c r="C189" s="39">
        <v>51</v>
      </c>
      <c r="D189" s="9">
        <v>41452</v>
      </c>
      <c r="E189" s="12" t="s">
        <v>281</v>
      </c>
      <c r="F189" s="12" t="s">
        <v>79</v>
      </c>
      <c r="G189" s="10">
        <v>10323.629999999999</v>
      </c>
      <c r="H189" s="10">
        <v>2361.5300000000002</v>
      </c>
      <c r="I189" s="10">
        <v>645227.11</v>
      </c>
      <c r="J189" s="62">
        <v>1</v>
      </c>
      <c r="L189" s="11"/>
      <c r="M189" s="11"/>
      <c r="N189" s="124"/>
      <c r="O189" s="125"/>
    </row>
    <row r="190" spans="1:15">
      <c r="A190" s="15" t="s">
        <v>270</v>
      </c>
      <c r="B190" s="25" t="s">
        <v>271</v>
      </c>
      <c r="C190" s="42">
        <v>52</v>
      </c>
      <c r="D190" s="9">
        <v>41452</v>
      </c>
      <c r="E190" s="12" t="s">
        <v>281</v>
      </c>
      <c r="F190" s="12" t="s">
        <v>79</v>
      </c>
      <c r="G190" s="10">
        <v>7941.41</v>
      </c>
      <c r="H190" s="10">
        <v>4020.34</v>
      </c>
      <c r="I190" s="10">
        <v>496338.32</v>
      </c>
      <c r="J190" s="62">
        <v>1</v>
      </c>
      <c r="L190" s="11"/>
      <c r="M190" s="11"/>
      <c r="N190" s="124"/>
      <c r="O190" s="125"/>
    </row>
    <row r="191" spans="1:15">
      <c r="A191" s="15" t="s">
        <v>53</v>
      </c>
      <c r="B191" s="25" t="s">
        <v>82</v>
      </c>
      <c r="C191" s="42">
        <v>77</v>
      </c>
      <c r="D191" s="9">
        <v>41378</v>
      </c>
      <c r="E191" s="12" t="s">
        <v>87</v>
      </c>
      <c r="F191" s="12" t="s">
        <v>79</v>
      </c>
      <c r="G191" s="10">
        <f>I191*1.6%</f>
        <v>9234.48</v>
      </c>
      <c r="H191" s="10"/>
      <c r="I191" s="10">
        <v>577155</v>
      </c>
      <c r="J191" s="62">
        <v>1</v>
      </c>
      <c r="L191" s="11"/>
      <c r="M191" s="11"/>
      <c r="N191" s="124"/>
      <c r="O191" s="125"/>
    </row>
    <row r="192" spans="1:15">
      <c r="A192" s="15" t="s">
        <v>146</v>
      </c>
      <c r="B192" s="25" t="s">
        <v>85</v>
      </c>
      <c r="C192" s="39">
        <v>907</v>
      </c>
      <c r="D192" s="9">
        <v>41451</v>
      </c>
      <c r="E192" s="12" t="s">
        <v>87</v>
      </c>
      <c r="F192" s="12" t="s">
        <v>79</v>
      </c>
      <c r="G192" s="10">
        <v>5924.8</v>
      </c>
      <c r="H192" s="10">
        <v>4110.33</v>
      </c>
      <c r="I192" s="10">
        <v>370300</v>
      </c>
      <c r="J192" s="62">
        <v>1</v>
      </c>
      <c r="L192" s="123" t="str">
        <f>E193</f>
        <v>CARINA</v>
      </c>
      <c r="M192" s="123" t="s">
        <v>25</v>
      </c>
      <c r="N192" s="124">
        <f>I193</f>
        <v>399802.79</v>
      </c>
      <c r="O192" s="125">
        <f>J193</f>
        <v>1</v>
      </c>
    </row>
    <row r="193" spans="1:15">
      <c r="A193" s="15" t="s">
        <v>186</v>
      </c>
      <c r="B193" s="25" t="s">
        <v>82</v>
      </c>
      <c r="C193" s="42">
        <v>405</v>
      </c>
      <c r="D193" s="9">
        <v>41381</v>
      </c>
      <c r="E193" s="12" t="s">
        <v>207</v>
      </c>
      <c r="F193" s="12" t="s">
        <v>79</v>
      </c>
      <c r="G193" s="10">
        <v>13993.1</v>
      </c>
      <c r="H193" s="10"/>
      <c r="I193" s="10">
        <v>399802.79</v>
      </c>
      <c r="J193" s="62">
        <v>1</v>
      </c>
      <c r="L193" s="123" t="str">
        <f>E194</f>
        <v>CARINA</v>
      </c>
      <c r="M193" s="123" t="s">
        <v>26</v>
      </c>
      <c r="N193" s="124">
        <f>SUM(I194:I195)</f>
        <v>739825</v>
      </c>
      <c r="O193" s="125">
        <f>SUM(J194:J195)</f>
        <v>1.5</v>
      </c>
    </row>
    <row r="194" spans="1:15">
      <c r="A194" s="15" t="s">
        <v>270</v>
      </c>
      <c r="B194" s="25" t="s">
        <v>273</v>
      </c>
      <c r="C194" s="39">
        <v>33</v>
      </c>
      <c r="D194" s="9">
        <v>41455</v>
      </c>
      <c r="E194" s="12" t="s">
        <v>207</v>
      </c>
      <c r="F194" s="12" t="s">
        <v>79</v>
      </c>
      <c r="G194" s="10">
        <v>3533.2</v>
      </c>
      <c r="H194" s="10">
        <v>1126.21</v>
      </c>
      <c r="I194" s="10">
        <v>220825</v>
      </c>
      <c r="J194" s="62">
        <v>0.5</v>
      </c>
      <c r="L194" s="11"/>
      <c r="M194" s="11"/>
      <c r="N194" s="124"/>
      <c r="O194" s="125"/>
    </row>
    <row r="195" spans="1:15">
      <c r="A195" s="15" t="s">
        <v>120</v>
      </c>
      <c r="B195" s="25" t="s">
        <v>85</v>
      </c>
      <c r="C195" s="42">
        <v>82</v>
      </c>
      <c r="D195" s="9">
        <v>41407</v>
      </c>
      <c r="E195" s="12" t="s">
        <v>207</v>
      </c>
      <c r="F195" s="12" t="s">
        <v>79</v>
      </c>
      <c r="G195" s="10">
        <v>10380</v>
      </c>
      <c r="H195" s="10"/>
      <c r="I195" s="10">
        <v>519000</v>
      </c>
      <c r="J195" s="62">
        <v>1</v>
      </c>
      <c r="L195" s="123" t="str">
        <f>E196</f>
        <v>CARINA</v>
      </c>
      <c r="M195" s="123" t="s">
        <v>61</v>
      </c>
      <c r="N195" s="124">
        <f>SUM(I196:I198)</f>
        <v>726888</v>
      </c>
      <c r="O195" s="125">
        <f>SUM(J196:J198)</f>
        <v>2</v>
      </c>
    </row>
    <row r="196" spans="1:15">
      <c r="A196" s="15" t="s">
        <v>145</v>
      </c>
      <c r="B196" s="25" t="s">
        <v>85</v>
      </c>
      <c r="C196" s="39">
        <v>501</v>
      </c>
      <c r="D196" s="9">
        <v>41413</v>
      </c>
      <c r="E196" s="12" t="s">
        <v>207</v>
      </c>
      <c r="F196" s="12" t="s">
        <v>79</v>
      </c>
      <c r="G196" s="10">
        <v>2875.36</v>
      </c>
      <c r="H196" s="10">
        <v>1994.78</v>
      </c>
      <c r="I196" s="10">
        <v>179710</v>
      </c>
      <c r="J196" s="62">
        <v>0.5</v>
      </c>
      <c r="L196" s="11"/>
      <c r="M196" s="11"/>
      <c r="N196" s="124"/>
      <c r="O196" s="125"/>
    </row>
    <row r="197" spans="1:15">
      <c r="A197" s="15" t="s">
        <v>145</v>
      </c>
      <c r="B197" s="25" t="s">
        <v>85</v>
      </c>
      <c r="C197" s="39">
        <v>507</v>
      </c>
      <c r="D197" s="9">
        <v>41413</v>
      </c>
      <c r="E197" s="12" t="s">
        <v>207</v>
      </c>
      <c r="F197" s="12" t="s">
        <v>79</v>
      </c>
      <c r="G197" s="10">
        <v>2863.2</v>
      </c>
      <c r="H197" s="10">
        <v>1986.35</v>
      </c>
      <c r="I197" s="10">
        <v>178950</v>
      </c>
      <c r="J197" s="62">
        <v>0.5</v>
      </c>
      <c r="L197" s="11"/>
      <c r="M197" s="11"/>
      <c r="N197" s="124"/>
      <c r="O197" s="125"/>
    </row>
    <row r="198" spans="1:15">
      <c r="A198" s="15" t="s">
        <v>145</v>
      </c>
      <c r="B198" s="25" t="s">
        <v>85</v>
      </c>
      <c r="C198" s="39">
        <v>1803</v>
      </c>
      <c r="D198" s="9">
        <v>41411</v>
      </c>
      <c r="E198" s="12" t="s">
        <v>207</v>
      </c>
      <c r="F198" s="12" t="s">
        <v>79</v>
      </c>
      <c r="G198" s="10">
        <v>5891.65</v>
      </c>
      <c r="H198" s="10">
        <v>4087.33</v>
      </c>
      <c r="I198" s="10">
        <v>368228</v>
      </c>
      <c r="J198" s="62">
        <v>1</v>
      </c>
      <c r="L198" s="123" t="str">
        <f>E199</f>
        <v>CARLOS</v>
      </c>
      <c r="M198" s="123" t="s">
        <v>25</v>
      </c>
      <c r="N198" s="124">
        <f>SUM(I199:I201)</f>
        <v>1310826.58</v>
      </c>
      <c r="O198" s="125">
        <f>SUM(J199:J201)</f>
        <v>2</v>
      </c>
    </row>
    <row r="199" spans="1:15">
      <c r="A199" s="15" t="s">
        <v>145</v>
      </c>
      <c r="B199" s="25" t="s">
        <v>85</v>
      </c>
      <c r="C199" s="39">
        <v>1514</v>
      </c>
      <c r="D199" s="9">
        <v>41413</v>
      </c>
      <c r="E199" s="12" t="s">
        <v>176</v>
      </c>
      <c r="F199" s="12" t="s">
        <v>79</v>
      </c>
      <c r="G199" s="10">
        <f>I199*0.8%</f>
        <v>1492.21264</v>
      </c>
      <c r="H199" s="10">
        <v>0</v>
      </c>
      <c r="I199" s="10">
        <v>186526.58</v>
      </c>
      <c r="J199" s="34">
        <v>0.5</v>
      </c>
      <c r="L199" s="11"/>
      <c r="M199" s="11"/>
      <c r="N199" s="124"/>
      <c r="O199" s="125"/>
    </row>
    <row r="200" spans="1:15">
      <c r="A200" s="15" t="s">
        <v>124</v>
      </c>
      <c r="B200" s="25" t="s">
        <v>85</v>
      </c>
      <c r="C200" s="39">
        <v>905</v>
      </c>
      <c r="D200" s="9">
        <v>41343</v>
      </c>
      <c r="E200" s="12" t="s">
        <v>224</v>
      </c>
      <c r="F200" s="12" t="s">
        <v>79</v>
      </c>
      <c r="G200" s="10">
        <v>6086.66</v>
      </c>
      <c r="H200" s="10"/>
      <c r="I200" s="10">
        <v>224600</v>
      </c>
      <c r="J200" s="62">
        <v>0.5</v>
      </c>
      <c r="L200" s="11"/>
      <c r="M200" s="11"/>
      <c r="N200" s="124"/>
      <c r="O200" s="125"/>
    </row>
    <row r="201" spans="1:15">
      <c r="A201" s="15" t="s">
        <v>53</v>
      </c>
      <c r="B201" s="25" t="s">
        <v>85</v>
      </c>
      <c r="C201" s="39">
        <v>173</v>
      </c>
      <c r="D201" s="9">
        <v>41357</v>
      </c>
      <c r="E201" s="12" t="s">
        <v>78</v>
      </c>
      <c r="F201" s="12" t="s">
        <v>79</v>
      </c>
      <c r="G201" s="10">
        <v>20981</v>
      </c>
      <c r="H201" s="10"/>
      <c r="I201" s="10">
        <v>899700</v>
      </c>
      <c r="J201" s="62">
        <v>1</v>
      </c>
      <c r="L201" s="123" t="str">
        <f>E202</f>
        <v>JULINHO</v>
      </c>
      <c r="M201" s="123" t="s">
        <v>27</v>
      </c>
      <c r="N201" s="124">
        <f>SUM(I202:I206)</f>
        <v>1587314.8599999999</v>
      </c>
      <c r="O201" s="125">
        <f>SUM(J202:J206)</f>
        <v>3</v>
      </c>
    </row>
    <row r="202" spans="1:15">
      <c r="A202" s="15" t="s">
        <v>146</v>
      </c>
      <c r="B202" s="25" t="s">
        <v>85</v>
      </c>
      <c r="C202" s="42">
        <v>2112</v>
      </c>
      <c r="D202" s="9">
        <v>41434</v>
      </c>
      <c r="E202" s="12" t="s">
        <v>78</v>
      </c>
      <c r="F202" s="12" t="s">
        <v>79</v>
      </c>
      <c r="G202" s="10">
        <v>5450.3</v>
      </c>
      <c r="H202" s="10">
        <v>3783.19</v>
      </c>
      <c r="I202" s="10">
        <v>340643.86</v>
      </c>
      <c r="J202" s="62">
        <v>0.5</v>
      </c>
      <c r="L202" s="11"/>
      <c r="M202" s="11"/>
      <c r="N202" s="124"/>
      <c r="O202" s="125"/>
    </row>
    <row r="203" spans="1:15">
      <c r="A203" s="15" t="s">
        <v>145</v>
      </c>
      <c r="B203" s="25" t="s">
        <v>85</v>
      </c>
      <c r="C203" s="39">
        <v>1508</v>
      </c>
      <c r="D203" s="12">
        <v>41437</v>
      </c>
      <c r="E203" s="12" t="s">
        <v>78</v>
      </c>
      <c r="F203" s="12" t="s">
        <v>79</v>
      </c>
      <c r="G203" s="10">
        <v>3149.6</v>
      </c>
      <c r="H203" s="10">
        <v>0</v>
      </c>
      <c r="I203" s="10">
        <v>196850</v>
      </c>
      <c r="J203" s="62">
        <v>0.5</v>
      </c>
      <c r="L203" s="11"/>
      <c r="M203" s="11"/>
      <c r="N203" s="124"/>
      <c r="O203" s="125"/>
    </row>
    <row r="204" spans="1:15">
      <c r="A204" s="15" t="s">
        <v>145</v>
      </c>
      <c r="B204" s="25" t="s">
        <v>85</v>
      </c>
      <c r="C204" s="39">
        <v>508</v>
      </c>
      <c r="D204" s="12">
        <v>41437</v>
      </c>
      <c r="E204" s="12" t="s">
        <v>78</v>
      </c>
      <c r="F204" s="12" t="s">
        <v>79</v>
      </c>
      <c r="G204" s="10">
        <v>3043.2</v>
      </c>
      <c r="H204" s="10">
        <v>0</v>
      </c>
      <c r="I204" s="10">
        <v>190200</v>
      </c>
      <c r="J204" s="62">
        <v>0.5</v>
      </c>
      <c r="L204" s="11"/>
      <c r="M204" s="11"/>
      <c r="N204" s="124"/>
      <c r="O204" s="125"/>
    </row>
    <row r="205" spans="1:15">
      <c r="A205" s="15" t="s">
        <v>270</v>
      </c>
      <c r="B205" s="25" t="s">
        <v>273</v>
      </c>
      <c r="C205" s="39">
        <v>33</v>
      </c>
      <c r="D205" s="9">
        <v>41455</v>
      </c>
      <c r="E205" s="12" t="s">
        <v>78</v>
      </c>
      <c r="F205" s="12" t="s">
        <v>79</v>
      </c>
      <c r="G205" s="10">
        <v>3533.2</v>
      </c>
      <c r="H205" s="10">
        <v>1126.21</v>
      </c>
      <c r="I205" s="10">
        <v>220825</v>
      </c>
      <c r="J205" s="62">
        <v>0.5</v>
      </c>
      <c r="L205" s="11"/>
      <c r="M205" s="11"/>
      <c r="N205" s="124"/>
      <c r="O205" s="125"/>
    </row>
    <row r="206" spans="1:15">
      <c r="A206" s="15" t="s">
        <v>270</v>
      </c>
      <c r="B206" s="25" t="s">
        <v>278</v>
      </c>
      <c r="C206" s="39">
        <v>22</v>
      </c>
      <c r="D206" s="9">
        <v>41455</v>
      </c>
      <c r="E206" s="12" t="s">
        <v>279</v>
      </c>
      <c r="F206" s="12" t="s">
        <v>79</v>
      </c>
      <c r="G206" s="10">
        <v>10220.74</v>
      </c>
      <c r="H206" s="10">
        <v>5174.25</v>
      </c>
      <c r="I206" s="10">
        <v>638796</v>
      </c>
      <c r="J206" s="62">
        <v>1</v>
      </c>
      <c r="L206" s="123" t="str">
        <f>E207</f>
        <v>MARIANA</v>
      </c>
      <c r="M206" s="123" t="s">
        <v>26</v>
      </c>
      <c r="N206" s="124">
        <f>I207</f>
        <v>385819.99</v>
      </c>
      <c r="O206" s="125">
        <f>J207</f>
        <v>1</v>
      </c>
    </row>
    <row r="207" spans="1:15">
      <c r="A207" s="15" t="s">
        <v>270</v>
      </c>
      <c r="B207" s="25" t="s">
        <v>271</v>
      </c>
      <c r="C207" s="39">
        <v>5</v>
      </c>
      <c r="D207" s="9">
        <v>41455</v>
      </c>
      <c r="E207" s="12" t="s">
        <v>277</v>
      </c>
      <c r="F207" s="12" t="s">
        <v>79</v>
      </c>
      <c r="G207" s="10">
        <v>6173.12</v>
      </c>
      <c r="H207" s="10">
        <v>3125.14</v>
      </c>
      <c r="I207" s="10">
        <v>385819.99</v>
      </c>
      <c r="J207" s="62">
        <v>1</v>
      </c>
      <c r="L207" s="123" t="str">
        <f>E208</f>
        <v>MARIANA</v>
      </c>
      <c r="M207" s="123" t="s">
        <v>26</v>
      </c>
      <c r="N207" s="124">
        <f>I208</f>
        <v>479051.8</v>
      </c>
      <c r="O207" s="125">
        <f>J208</f>
        <v>1</v>
      </c>
    </row>
    <row r="208" spans="1:15">
      <c r="A208" s="15" t="s">
        <v>270</v>
      </c>
      <c r="B208" s="25" t="s">
        <v>273</v>
      </c>
      <c r="C208" s="42">
        <v>53</v>
      </c>
      <c r="D208" s="9">
        <v>41451</v>
      </c>
      <c r="E208" s="12" t="s">
        <v>277</v>
      </c>
      <c r="F208" s="12" t="s">
        <v>79</v>
      </c>
      <c r="G208" s="10">
        <v>7664.83</v>
      </c>
      <c r="H208" s="10">
        <v>3880.32</v>
      </c>
      <c r="I208" s="10">
        <v>479051.8</v>
      </c>
      <c r="J208" s="62">
        <v>1</v>
      </c>
      <c r="L208" s="123" t="str">
        <f>E209</f>
        <v>MIRIAM</v>
      </c>
      <c r="M208" s="123" t="s">
        <v>24</v>
      </c>
      <c r="N208" s="124">
        <f>SUM(I209:I215)</f>
        <v>2824687.06</v>
      </c>
      <c r="O208" s="125">
        <f>SUM(J209:J215)</f>
        <v>6.5</v>
      </c>
    </row>
    <row r="209" spans="1:15">
      <c r="A209" s="15" t="s">
        <v>270</v>
      </c>
      <c r="B209" s="25" t="s">
        <v>273</v>
      </c>
      <c r="C209" s="39">
        <v>24</v>
      </c>
      <c r="D209" s="9">
        <v>41452</v>
      </c>
      <c r="E209" s="12" t="s">
        <v>280</v>
      </c>
      <c r="F209" s="12" t="s">
        <v>79</v>
      </c>
      <c r="G209" s="10">
        <v>5296.8</v>
      </c>
      <c r="H209" s="10">
        <v>2681.51</v>
      </c>
      <c r="I209" s="10">
        <v>331050</v>
      </c>
      <c r="J209" s="62">
        <v>1</v>
      </c>
      <c r="L209" s="11"/>
      <c r="M209" s="11"/>
      <c r="N209" s="124"/>
      <c r="O209" s="125"/>
    </row>
    <row r="210" spans="1:15">
      <c r="A210" s="15" t="s">
        <v>124</v>
      </c>
      <c r="B210" s="25" t="s">
        <v>85</v>
      </c>
      <c r="C210" s="39">
        <v>102</v>
      </c>
      <c r="D210" s="12">
        <v>41343</v>
      </c>
      <c r="E210" s="12" t="s">
        <v>140</v>
      </c>
      <c r="F210" s="12" t="s">
        <v>79</v>
      </c>
      <c r="G210" s="10">
        <v>5931.65</v>
      </c>
      <c r="H210" s="10"/>
      <c r="I210" s="10">
        <v>218880.01</v>
      </c>
      <c r="J210" s="34">
        <v>0.5</v>
      </c>
      <c r="L210" s="11"/>
      <c r="M210" s="11"/>
      <c r="N210" s="124"/>
      <c r="O210" s="125"/>
    </row>
    <row r="211" spans="1:15">
      <c r="A211" s="15" t="s">
        <v>124</v>
      </c>
      <c r="B211" s="25" t="s">
        <v>85</v>
      </c>
      <c r="C211" s="39">
        <v>609</v>
      </c>
      <c r="D211" s="9">
        <v>41343</v>
      </c>
      <c r="E211" s="12" t="s">
        <v>140</v>
      </c>
      <c r="F211" s="12" t="s">
        <v>79</v>
      </c>
      <c r="G211" s="10">
        <v>11728.01</v>
      </c>
      <c r="H211" s="10"/>
      <c r="I211" s="10">
        <v>432768.05</v>
      </c>
      <c r="J211" s="62">
        <v>1</v>
      </c>
      <c r="L211" s="11"/>
      <c r="M211" s="11"/>
      <c r="N211" s="124"/>
      <c r="O211" s="125"/>
    </row>
    <row r="212" spans="1:15">
      <c r="A212" s="15" t="s">
        <v>124</v>
      </c>
      <c r="B212" s="25" t="s">
        <v>85</v>
      </c>
      <c r="C212" s="39">
        <v>701</v>
      </c>
      <c r="D212" s="9">
        <v>41343</v>
      </c>
      <c r="E212" s="12" t="s">
        <v>140</v>
      </c>
      <c r="F212" s="12" t="s">
        <v>79</v>
      </c>
      <c r="G212" s="10">
        <v>12129.96</v>
      </c>
      <c r="H212" s="10"/>
      <c r="I212" s="10">
        <v>447600.01</v>
      </c>
      <c r="J212" s="62">
        <v>1</v>
      </c>
      <c r="L212" s="11"/>
      <c r="M212" s="11"/>
      <c r="N212" s="124"/>
      <c r="O212" s="125"/>
    </row>
    <row r="213" spans="1:15">
      <c r="A213" s="15" t="s">
        <v>124</v>
      </c>
      <c r="B213" s="25" t="s">
        <v>85</v>
      </c>
      <c r="C213" s="39">
        <v>702</v>
      </c>
      <c r="D213" s="9">
        <v>41343</v>
      </c>
      <c r="E213" s="12" t="s">
        <v>140</v>
      </c>
      <c r="F213" s="12" t="s">
        <v>79</v>
      </c>
      <c r="G213" s="10">
        <v>12357.6</v>
      </c>
      <c r="H213" s="10"/>
      <c r="I213" s="10">
        <v>455999.99</v>
      </c>
      <c r="J213" s="62">
        <v>1</v>
      </c>
      <c r="L213" s="11"/>
      <c r="M213" s="11"/>
      <c r="N213" s="124"/>
      <c r="O213" s="125"/>
    </row>
    <row r="214" spans="1:15">
      <c r="A214" s="15" t="s">
        <v>145</v>
      </c>
      <c r="B214" s="25" t="s">
        <v>85</v>
      </c>
      <c r="C214" s="42">
        <v>1212</v>
      </c>
      <c r="D214" s="9">
        <v>41423</v>
      </c>
      <c r="E214" s="12" t="s">
        <v>140</v>
      </c>
      <c r="F214" s="12" t="s">
        <v>79</v>
      </c>
      <c r="G214" s="10">
        <v>8495.68</v>
      </c>
      <c r="H214" s="10">
        <v>0</v>
      </c>
      <c r="I214" s="10">
        <v>530980</v>
      </c>
      <c r="J214" s="62">
        <v>1</v>
      </c>
      <c r="L214" s="11"/>
      <c r="M214" s="11"/>
      <c r="N214" s="124"/>
      <c r="O214" s="125"/>
    </row>
    <row r="215" spans="1:15">
      <c r="A215" s="15" t="s">
        <v>186</v>
      </c>
      <c r="B215" s="25" t="s">
        <v>82</v>
      </c>
      <c r="C215" s="42">
        <v>1011</v>
      </c>
      <c r="D215" s="9">
        <v>41374</v>
      </c>
      <c r="E215" s="12" t="s">
        <v>140</v>
      </c>
      <c r="F215" s="12" t="s">
        <v>79</v>
      </c>
      <c r="G215" s="10">
        <f>I215*2%</f>
        <v>8148.18</v>
      </c>
      <c r="H215" s="10"/>
      <c r="I215" s="10">
        <v>407409</v>
      </c>
      <c r="J215" s="62">
        <v>1</v>
      </c>
      <c r="L215" s="123" t="str">
        <f>E216</f>
        <v>RAPHAEL</v>
      </c>
      <c r="M215" s="123" t="s">
        <v>24</v>
      </c>
      <c r="N215" s="124">
        <f>SUM(I216:I217)</f>
        <v>695135.77</v>
      </c>
      <c r="O215" s="125">
        <f>SUM(J216:J217)</f>
        <v>2</v>
      </c>
    </row>
    <row r="216" spans="1:15">
      <c r="A216" s="15" t="s">
        <v>146</v>
      </c>
      <c r="B216" s="25" t="s">
        <v>85</v>
      </c>
      <c r="C216" s="42">
        <v>2003</v>
      </c>
      <c r="D216" s="9">
        <v>41431</v>
      </c>
      <c r="E216" s="12" t="s">
        <v>140</v>
      </c>
      <c r="F216" s="12" t="s">
        <v>79</v>
      </c>
      <c r="G216" s="10">
        <v>4978.18</v>
      </c>
      <c r="H216" s="10">
        <v>0</v>
      </c>
      <c r="I216" s="10">
        <v>311136</v>
      </c>
      <c r="J216" s="62">
        <v>1</v>
      </c>
      <c r="L216" s="11"/>
      <c r="M216" s="11"/>
      <c r="N216" s="124"/>
      <c r="O216" s="125"/>
    </row>
    <row r="217" spans="1:15">
      <c r="A217" s="15" t="s">
        <v>145</v>
      </c>
      <c r="B217" s="25" t="s">
        <v>85</v>
      </c>
      <c r="C217" s="42">
        <v>910</v>
      </c>
      <c r="D217" s="9">
        <v>41416</v>
      </c>
      <c r="E217" s="42" t="s">
        <v>197</v>
      </c>
      <c r="F217" s="42" t="s">
        <v>79</v>
      </c>
      <c r="G217" s="10">
        <v>6144</v>
      </c>
      <c r="H217" s="10">
        <v>4262.3999999999996</v>
      </c>
      <c r="I217" s="10">
        <v>383999.77</v>
      </c>
      <c r="J217" s="62">
        <v>1</v>
      </c>
      <c r="L217" s="123" t="str">
        <f>E218</f>
        <v>REYNALDO</v>
      </c>
      <c r="M217" s="123" t="s">
        <v>25</v>
      </c>
      <c r="N217" s="124">
        <f>I218</f>
        <v>308508</v>
      </c>
      <c r="O217" s="125">
        <f>J218</f>
        <v>1</v>
      </c>
    </row>
    <row r="218" spans="1:15">
      <c r="A218" s="15" t="s">
        <v>145</v>
      </c>
      <c r="B218" s="25" t="s">
        <v>85</v>
      </c>
      <c r="C218" s="42">
        <v>1014</v>
      </c>
      <c r="D218" s="9">
        <v>41412</v>
      </c>
      <c r="E218" s="42" t="s">
        <v>197</v>
      </c>
      <c r="F218" s="42" t="s">
        <v>79</v>
      </c>
      <c r="G218" s="10">
        <v>4936.13</v>
      </c>
      <c r="H218" s="10">
        <v>3424.44</v>
      </c>
      <c r="I218" s="10">
        <v>308508</v>
      </c>
      <c r="J218" s="62">
        <v>1</v>
      </c>
      <c r="L218" s="123" t="str">
        <f>E219</f>
        <v>REYNALDO</v>
      </c>
      <c r="M218" s="123" t="s">
        <v>61</v>
      </c>
      <c r="N218" s="124">
        <f>I219</f>
        <v>255610.19</v>
      </c>
      <c r="O218" s="125">
        <f>J219</f>
        <v>0.5</v>
      </c>
    </row>
    <row r="219" spans="1:15">
      <c r="A219" s="15" t="s">
        <v>145</v>
      </c>
      <c r="B219" s="25" t="s">
        <v>85</v>
      </c>
      <c r="C219" s="42">
        <v>1313</v>
      </c>
      <c r="D219" s="9">
        <v>41411</v>
      </c>
      <c r="E219" s="42" t="s">
        <v>197</v>
      </c>
      <c r="F219" s="42" t="s">
        <v>79</v>
      </c>
      <c r="G219" s="10">
        <v>4089.76</v>
      </c>
      <c r="H219" s="10">
        <v>2837.27</v>
      </c>
      <c r="I219" s="10">
        <v>255610.19</v>
      </c>
      <c r="J219" s="62">
        <v>0.5</v>
      </c>
      <c r="L219" s="123" t="str">
        <f>E220</f>
        <v>ROMULO</v>
      </c>
      <c r="M219" s="123" t="s">
        <v>25</v>
      </c>
      <c r="N219" s="124">
        <f>SUM(I220:I223)</f>
        <v>2175353.2600000002</v>
      </c>
      <c r="O219" s="125">
        <f>SUM(J220:J223)</f>
        <v>3</v>
      </c>
    </row>
    <row r="220" spans="1:15">
      <c r="A220" s="15" t="s">
        <v>145</v>
      </c>
      <c r="B220" s="25" t="s">
        <v>85</v>
      </c>
      <c r="C220" s="39">
        <v>1514</v>
      </c>
      <c r="D220" s="9">
        <v>41413</v>
      </c>
      <c r="E220" s="12" t="s">
        <v>177</v>
      </c>
      <c r="F220" s="12" t="s">
        <v>79</v>
      </c>
      <c r="G220" s="10">
        <f>I220*0.8%</f>
        <v>1492.21264</v>
      </c>
      <c r="H220" s="10">
        <v>0</v>
      </c>
      <c r="I220" s="10">
        <v>186526.58</v>
      </c>
      <c r="J220" s="34">
        <v>0.5</v>
      </c>
      <c r="L220" s="11"/>
      <c r="M220" s="11"/>
      <c r="N220" s="124"/>
      <c r="O220" s="125"/>
    </row>
    <row r="221" spans="1:15">
      <c r="A221" s="15" t="s">
        <v>89</v>
      </c>
      <c r="B221" s="25" t="s">
        <v>82</v>
      </c>
      <c r="C221" s="42">
        <v>111</v>
      </c>
      <c r="D221" s="9">
        <v>41381</v>
      </c>
      <c r="E221" s="12" t="s">
        <v>128</v>
      </c>
      <c r="F221" s="12" t="s">
        <v>79</v>
      </c>
      <c r="G221" s="10">
        <v>23490</v>
      </c>
      <c r="H221" s="10"/>
      <c r="I221" s="10">
        <v>1080000</v>
      </c>
      <c r="J221" s="62">
        <v>0.5</v>
      </c>
      <c r="L221" s="11"/>
      <c r="M221" s="11"/>
      <c r="N221" s="124"/>
      <c r="O221" s="125"/>
    </row>
    <row r="222" spans="1:15">
      <c r="A222" s="15" t="s">
        <v>270</v>
      </c>
      <c r="B222" s="25" t="s">
        <v>273</v>
      </c>
      <c r="C222" s="39">
        <v>66</v>
      </c>
      <c r="D222" s="12">
        <v>41451</v>
      </c>
      <c r="E222" s="12" t="s">
        <v>282</v>
      </c>
      <c r="F222" s="12" t="s">
        <v>26</v>
      </c>
      <c r="G222" s="10">
        <v>6964.13</v>
      </c>
      <c r="H222" s="10">
        <v>3525.59</v>
      </c>
      <c r="I222" s="10">
        <v>435257.82</v>
      </c>
      <c r="J222" s="34">
        <v>1</v>
      </c>
      <c r="L222" s="11"/>
      <c r="M222" s="11"/>
      <c r="N222" s="124"/>
      <c r="O222" s="125"/>
    </row>
    <row r="223" spans="1:15">
      <c r="A223" s="15" t="s">
        <v>270</v>
      </c>
      <c r="B223" s="25" t="s">
        <v>273</v>
      </c>
      <c r="C223" s="39">
        <v>72</v>
      </c>
      <c r="D223" s="12">
        <v>41455</v>
      </c>
      <c r="E223" s="12" t="s">
        <v>282</v>
      </c>
      <c r="F223" s="12" t="s">
        <v>26</v>
      </c>
      <c r="G223" s="10">
        <v>7577.1</v>
      </c>
      <c r="H223" s="10">
        <v>3835.91</v>
      </c>
      <c r="I223" s="10">
        <v>473568.86</v>
      </c>
      <c r="J223" s="34">
        <v>1</v>
      </c>
      <c r="L223" s="123" t="str">
        <f>E224</f>
        <v>AFRAH</v>
      </c>
      <c r="M223" s="123" t="s">
        <v>23</v>
      </c>
      <c r="N223" s="124">
        <f>SUM(I224:I225)</f>
        <v>875829.14</v>
      </c>
      <c r="O223" s="125">
        <f>SUM(J224:J225)</f>
        <v>2</v>
      </c>
    </row>
    <row r="224" spans="1:15">
      <c r="A224" s="15" t="s">
        <v>270</v>
      </c>
      <c r="B224" s="25" t="s">
        <v>273</v>
      </c>
      <c r="C224" s="39">
        <v>75</v>
      </c>
      <c r="D224" s="12">
        <v>41451</v>
      </c>
      <c r="E224" s="12" t="s">
        <v>282</v>
      </c>
      <c r="F224" s="12" t="s">
        <v>26</v>
      </c>
      <c r="G224" s="10">
        <v>6082.76</v>
      </c>
      <c r="H224" s="10">
        <v>3079.4</v>
      </c>
      <c r="I224" s="10">
        <v>380172.25</v>
      </c>
      <c r="J224" s="34">
        <v>1</v>
      </c>
      <c r="L224" s="11"/>
      <c r="M224" s="11"/>
      <c r="N224" s="124"/>
      <c r="O224" s="125"/>
    </row>
    <row r="225" spans="1:15">
      <c r="A225" s="15" t="s">
        <v>270</v>
      </c>
      <c r="B225" s="25" t="s">
        <v>273</v>
      </c>
      <c r="C225" s="39">
        <v>76</v>
      </c>
      <c r="D225" s="12">
        <v>41451</v>
      </c>
      <c r="E225" s="12" t="s">
        <v>282</v>
      </c>
      <c r="F225" s="12" t="s">
        <v>26</v>
      </c>
      <c r="G225" s="10">
        <v>7930.51</v>
      </c>
      <c r="H225" s="10">
        <v>4014.82</v>
      </c>
      <c r="I225" s="10">
        <v>495656.89</v>
      </c>
      <c r="J225" s="34">
        <v>1</v>
      </c>
      <c r="L225" s="123" t="str">
        <f>E226</f>
        <v>AFRAH</v>
      </c>
      <c r="M225" s="123" t="s">
        <v>23</v>
      </c>
      <c r="N225" s="124">
        <f>I226</f>
        <v>493500</v>
      </c>
      <c r="O225" s="125">
        <f>J226</f>
        <v>1</v>
      </c>
    </row>
    <row r="226" spans="1:15">
      <c r="A226" s="15" t="s">
        <v>270</v>
      </c>
      <c r="B226" s="25" t="s">
        <v>273</v>
      </c>
      <c r="C226" s="39">
        <v>82</v>
      </c>
      <c r="D226" s="12">
        <v>41451</v>
      </c>
      <c r="E226" s="12" t="s">
        <v>282</v>
      </c>
      <c r="F226" s="12" t="s">
        <v>26</v>
      </c>
      <c r="G226" s="10">
        <v>7896</v>
      </c>
      <c r="H226" s="10">
        <v>2990.61</v>
      </c>
      <c r="I226" s="10">
        <v>493500</v>
      </c>
      <c r="J226" s="34">
        <v>1</v>
      </c>
      <c r="L226" s="123" t="str">
        <f>E227</f>
        <v>ARETHA</v>
      </c>
      <c r="M226" s="123" t="s">
        <v>23</v>
      </c>
      <c r="N226" s="124">
        <f>SUM(I227:I229)</f>
        <v>772731.1399999999</v>
      </c>
      <c r="O226" s="125">
        <f>SUM(J227:J229)</f>
        <v>2</v>
      </c>
    </row>
    <row r="227" spans="1:15">
      <c r="A227" s="15" t="s">
        <v>145</v>
      </c>
      <c r="B227" s="25" t="s">
        <v>85</v>
      </c>
      <c r="C227" s="39">
        <v>1201</v>
      </c>
      <c r="D227" s="9">
        <v>41441</v>
      </c>
      <c r="E227" s="12" t="s">
        <v>170</v>
      </c>
      <c r="F227" s="12" t="s">
        <v>26</v>
      </c>
      <c r="G227" s="10">
        <v>2905.75</v>
      </c>
      <c r="H227" s="10">
        <v>2015.86</v>
      </c>
      <c r="I227" s="10">
        <v>181609.12</v>
      </c>
      <c r="J227" s="62">
        <v>0.5</v>
      </c>
      <c r="L227" s="11"/>
      <c r="M227" s="11"/>
      <c r="N227" s="124"/>
      <c r="O227" s="125"/>
    </row>
    <row r="228" spans="1:15">
      <c r="A228" s="15" t="s">
        <v>145</v>
      </c>
      <c r="B228" s="25" t="s">
        <v>85</v>
      </c>
      <c r="C228" s="42">
        <v>2011</v>
      </c>
      <c r="D228" s="9">
        <v>41420</v>
      </c>
      <c r="E228" s="12" t="s">
        <v>170</v>
      </c>
      <c r="F228" s="12" t="s">
        <v>26</v>
      </c>
      <c r="G228" s="10">
        <v>3199.8</v>
      </c>
      <c r="H228" s="10">
        <v>2219.86</v>
      </c>
      <c r="I228" s="10">
        <v>199987.05</v>
      </c>
      <c r="J228" s="62">
        <v>0.5</v>
      </c>
      <c r="L228" s="11"/>
      <c r="M228" s="11"/>
      <c r="N228" s="124"/>
      <c r="O228" s="125"/>
    </row>
    <row r="229" spans="1:15">
      <c r="A229" s="15" t="s">
        <v>124</v>
      </c>
      <c r="B229" s="25" t="s">
        <v>85</v>
      </c>
      <c r="C229" s="39">
        <v>611</v>
      </c>
      <c r="D229" s="9">
        <v>41344</v>
      </c>
      <c r="E229" s="12" t="s">
        <v>218</v>
      </c>
      <c r="F229" s="12" t="s">
        <v>26</v>
      </c>
      <c r="G229" s="10">
        <v>10153.86</v>
      </c>
      <c r="H229" s="10"/>
      <c r="I229" s="10">
        <v>391134.97</v>
      </c>
      <c r="J229" s="34">
        <v>1</v>
      </c>
      <c r="L229" s="123" t="str">
        <f>E230</f>
        <v>BLUMA</v>
      </c>
      <c r="M229" s="123" t="s">
        <v>23</v>
      </c>
      <c r="N229" s="124">
        <f>SUM(I230:I237)</f>
        <v>2021185.63</v>
      </c>
      <c r="O229" s="125">
        <f>SUM(J230:J237)</f>
        <v>5.5</v>
      </c>
    </row>
    <row r="230" spans="1:15">
      <c r="A230" s="15" t="s">
        <v>145</v>
      </c>
      <c r="B230" s="25" t="s">
        <v>82</v>
      </c>
      <c r="C230" s="39">
        <v>409</v>
      </c>
      <c r="D230" s="9">
        <v>41445</v>
      </c>
      <c r="E230" s="12" t="s">
        <v>218</v>
      </c>
      <c r="F230" s="12" t="s">
        <v>26</v>
      </c>
      <c r="G230" s="10">
        <v>3571.2</v>
      </c>
      <c r="H230" s="10">
        <v>0</v>
      </c>
      <c r="I230" s="10">
        <v>223200</v>
      </c>
      <c r="J230" s="62">
        <v>0.5</v>
      </c>
      <c r="L230" s="11"/>
      <c r="M230" s="11"/>
      <c r="N230" s="124"/>
      <c r="O230" s="125"/>
    </row>
    <row r="231" spans="1:15">
      <c r="A231" s="15" t="s">
        <v>145</v>
      </c>
      <c r="B231" s="25" t="s">
        <v>82</v>
      </c>
      <c r="C231" s="39">
        <v>2408</v>
      </c>
      <c r="D231" s="9">
        <v>41445</v>
      </c>
      <c r="E231" s="12" t="s">
        <v>218</v>
      </c>
      <c r="F231" s="12" t="s">
        <v>26</v>
      </c>
      <c r="G231" s="10">
        <v>3868.8</v>
      </c>
      <c r="H231" s="10">
        <v>0</v>
      </c>
      <c r="I231" s="10">
        <v>241800</v>
      </c>
      <c r="J231" s="62">
        <v>0.5</v>
      </c>
      <c r="L231" s="11"/>
      <c r="M231" s="11"/>
      <c r="N231" s="124"/>
      <c r="O231" s="125"/>
    </row>
    <row r="232" spans="1:15">
      <c r="A232" s="15" t="s">
        <v>57</v>
      </c>
      <c r="B232" s="25" t="s">
        <v>188</v>
      </c>
      <c r="C232" s="39">
        <v>152</v>
      </c>
      <c r="D232" s="9">
        <v>41414</v>
      </c>
      <c r="E232" s="12" t="s">
        <v>218</v>
      </c>
      <c r="F232" s="12" t="s">
        <v>26</v>
      </c>
      <c r="G232" s="10">
        <v>4418.3999999999996</v>
      </c>
      <c r="H232" s="10">
        <v>0</v>
      </c>
      <c r="I232" s="10">
        <v>138075</v>
      </c>
      <c r="J232" s="62">
        <v>0.5</v>
      </c>
      <c r="L232" s="11"/>
      <c r="M232" s="11"/>
      <c r="N232" s="124"/>
      <c r="O232" s="125"/>
    </row>
    <row r="233" spans="1:15">
      <c r="A233" s="15" t="s">
        <v>145</v>
      </c>
      <c r="B233" s="25" t="s">
        <v>85</v>
      </c>
      <c r="C233" s="39">
        <v>502</v>
      </c>
      <c r="D233" s="9">
        <v>41407</v>
      </c>
      <c r="E233" s="12" t="s">
        <v>218</v>
      </c>
      <c r="F233" s="12" t="s">
        <v>26</v>
      </c>
      <c r="G233" s="10">
        <v>2823.22</v>
      </c>
      <c r="H233" s="10">
        <v>1958.61</v>
      </c>
      <c r="I233" s="10">
        <v>176451.06</v>
      </c>
      <c r="J233" s="62">
        <v>0.5</v>
      </c>
      <c r="L233" s="11"/>
      <c r="M233" s="11"/>
      <c r="N233" s="124"/>
      <c r="O233" s="125"/>
    </row>
    <row r="234" spans="1:15">
      <c r="A234" s="15" t="s">
        <v>145</v>
      </c>
      <c r="B234" s="25" t="s">
        <v>85</v>
      </c>
      <c r="C234" s="39">
        <v>706</v>
      </c>
      <c r="D234" s="9">
        <v>41407</v>
      </c>
      <c r="E234" s="12" t="s">
        <v>218</v>
      </c>
      <c r="F234" s="12" t="s">
        <v>26</v>
      </c>
      <c r="G234" s="10">
        <v>4860.99</v>
      </c>
      <c r="H234" s="10">
        <v>3372.31</v>
      </c>
      <c r="I234" s="10">
        <v>303812</v>
      </c>
      <c r="J234" s="62">
        <v>1</v>
      </c>
      <c r="L234" s="11"/>
      <c r="M234" s="11"/>
      <c r="N234" s="124"/>
      <c r="O234" s="125"/>
    </row>
    <row r="235" spans="1:15">
      <c r="A235" s="15" t="s">
        <v>145</v>
      </c>
      <c r="B235" s="25" t="s">
        <v>85</v>
      </c>
      <c r="C235" s="39">
        <v>1016</v>
      </c>
      <c r="D235" s="9">
        <v>41413</v>
      </c>
      <c r="E235" s="12" t="s">
        <v>218</v>
      </c>
      <c r="F235" s="12" t="s">
        <v>26</v>
      </c>
      <c r="G235" s="10">
        <v>29150.02</v>
      </c>
      <c r="H235" s="10">
        <v>2022.29</v>
      </c>
      <c r="I235" s="10">
        <v>182188.42</v>
      </c>
      <c r="J235" s="62">
        <v>0.5</v>
      </c>
      <c r="L235" s="11"/>
      <c r="M235" s="11"/>
      <c r="N235" s="124"/>
      <c r="O235" s="125"/>
    </row>
    <row r="236" spans="1:15">
      <c r="A236" s="15" t="s">
        <v>145</v>
      </c>
      <c r="B236" s="25" t="s">
        <v>85</v>
      </c>
      <c r="C236" s="39">
        <v>1101</v>
      </c>
      <c r="D236" s="9">
        <v>41413</v>
      </c>
      <c r="E236" s="12" t="s">
        <v>218</v>
      </c>
      <c r="F236" s="12" t="s">
        <v>26</v>
      </c>
      <c r="G236" s="10">
        <v>5883.69</v>
      </c>
      <c r="H236" s="10">
        <v>4081.81</v>
      </c>
      <c r="I236" s="10">
        <v>367730.43</v>
      </c>
      <c r="J236" s="62">
        <v>1</v>
      </c>
      <c r="L236" s="11"/>
      <c r="M236" s="11"/>
      <c r="N236" s="124"/>
      <c r="O236" s="125"/>
    </row>
    <row r="237" spans="1:15">
      <c r="A237" s="15" t="s">
        <v>270</v>
      </c>
      <c r="B237" s="25" t="s">
        <v>271</v>
      </c>
      <c r="C237" s="39">
        <v>14</v>
      </c>
      <c r="D237" s="12">
        <v>41451</v>
      </c>
      <c r="E237" s="12" t="s">
        <v>283</v>
      </c>
      <c r="F237" s="12" t="s">
        <v>26</v>
      </c>
      <c r="G237" s="10">
        <v>6206.86</v>
      </c>
      <c r="H237" s="10">
        <v>3142.22</v>
      </c>
      <c r="I237" s="10">
        <v>387928.72</v>
      </c>
      <c r="J237" s="34">
        <v>1</v>
      </c>
      <c r="L237" s="123" t="str">
        <f>E238</f>
        <v>CAROL</v>
      </c>
      <c r="M237" s="123" t="s">
        <v>61</v>
      </c>
      <c r="N237" s="124">
        <f>SUM(I238:I239)</f>
        <v>696350.7</v>
      </c>
      <c r="O237" s="125">
        <f>SUM(J238:J239)</f>
        <v>1.5</v>
      </c>
    </row>
    <row r="238" spans="1:15">
      <c r="A238" s="15" t="s">
        <v>270</v>
      </c>
      <c r="B238" s="25" t="s">
        <v>273</v>
      </c>
      <c r="C238" s="39">
        <v>42</v>
      </c>
      <c r="D238" s="12">
        <v>41452</v>
      </c>
      <c r="E238" s="12" t="s">
        <v>283</v>
      </c>
      <c r="F238" s="12" t="s">
        <v>26</v>
      </c>
      <c r="G238" s="10">
        <v>7051.85</v>
      </c>
      <c r="H238" s="10">
        <v>3570</v>
      </c>
      <c r="I238" s="10">
        <v>440740.51</v>
      </c>
      <c r="J238" s="34">
        <v>1</v>
      </c>
      <c r="L238" s="11"/>
      <c r="M238" s="11"/>
      <c r="N238" s="124"/>
      <c r="O238" s="125"/>
    </row>
    <row r="239" spans="1:15">
      <c r="A239" s="15" t="s">
        <v>145</v>
      </c>
      <c r="B239" s="25" t="s">
        <v>85</v>
      </c>
      <c r="C239" s="42">
        <v>1313</v>
      </c>
      <c r="D239" s="9">
        <v>41411</v>
      </c>
      <c r="E239" s="42" t="s">
        <v>171</v>
      </c>
      <c r="F239" s="42" t="s">
        <v>26</v>
      </c>
      <c r="G239" s="10">
        <v>4089.76</v>
      </c>
      <c r="H239" s="10">
        <v>2837.27</v>
      </c>
      <c r="I239" s="10">
        <v>255610.19</v>
      </c>
      <c r="J239" s="62">
        <v>0.5</v>
      </c>
      <c r="L239" s="123" t="str">
        <f>E240</f>
        <v>DEBORA</v>
      </c>
      <c r="M239" s="123" t="s">
        <v>27</v>
      </c>
      <c r="N239" s="124">
        <f>SUM(I240:I244)</f>
        <v>1158307.2</v>
      </c>
      <c r="O239" s="125">
        <f>SUM(J240:J244)</f>
        <v>3</v>
      </c>
    </row>
    <row r="240" spans="1:15">
      <c r="A240" s="15" t="s">
        <v>145</v>
      </c>
      <c r="B240" s="25" t="s">
        <v>85</v>
      </c>
      <c r="C240" s="42">
        <v>1611</v>
      </c>
      <c r="D240" s="9">
        <v>41420</v>
      </c>
      <c r="E240" s="12" t="s">
        <v>171</v>
      </c>
      <c r="F240" s="42" t="s">
        <v>26</v>
      </c>
      <c r="G240" s="10">
        <v>2888</v>
      </c>
      <c r="H240" s="10">
        <v>2003.55</v>
      </c>
      <c r="I240" s="10">
        <v>180500</v>
      </c>
      <c r="J240" s="62">
        <v>0.5</v>
      </c>
      <c r="L240" s="11"/>
      <c r="M240" s="11"/>
      <c r="N240" s="141"/>
      <c r="O240" s="125"/>
    </row>
    <row r="241" spans="1:15">
      <c r="A241" s="15" t="s">
        <v>145</v>
      </c>
      <c r="B241" s="25" t="s">
        <v>85</v>
      </c>
      <c r="C241" s="42">
        <v>2514</v>
      </c>
      <c r="D241" s="9">
        <v>41411</v>
      </c>
      <c r="E241" s="42" t="s">
        <v>171</v>
      </c>
      <c r="F241" s="42" t="s">
        <v>26</v>
      </c>
      <c r="G241" s="10">
        <v>6426.09</v>
      </c>
      <c r="H241" s="10">
        <v>4458.1000000000004</v>
      </c>
      <c r="I241" s="10">
        <v>401630.7</v>
      </c>
      <c r="J241" s="62">
        <v>1</v>
      </c>
      <c r="L241" s="11"/>
      <c r="M241" s="11"/>
      <c r="N241" s="124"/>
      <c r="O241" s="125"/>
    </row>
    <row r="242" spans="1:15">
      <c r="A242" s="15" t="s">
        <v>124</v>
      </c>
      <c r="B242" s="25" t="s">
        <v>85</v>
      </c>
      <c r="C242" s="39">
        <v>906</v>
      </c>
      <c r="D242" s="9">
        <v>41344</v>
      </c>
      <c r="E242" s="12" t="s">
        <v>67</v>
      </c>
      <c r="F242" s="12" t="s">
        <v>26</v>
      </c>
      <c r="G242" s="10">
        <v>5921.35</v>
      </c>
      <c r="H242" s="10"/>
      <c r="I242" s="10">
        <v>218500</v>
      </c>
      <c r="J242" s="34">
        <v>0.5</v>
      </c>
      <c r="L242" s="11"/>
      <c r="M242" s="11"/>
      <c r="N242" s="124"/>
      <c r="O242" s="125"/>
    </row>
    <row r="243" spans="1:15">
      <c r="A243" s="15" t="s">
        <v>145</v>
      </c>
      <c r="B243" s="25" t="s">
        <v>85</v>
      </c>
      <c r="C243" s="42">
        <v>1611</v>
      </c>
      <c r="D243" s="9">
        <v>41420</v>
      </c>
      <c r="E243" s="12" t="s">
        <v>67</v>
      </c>
      <c r="F243" s="12" t="s">
        <v>26</v>
      </c>
      <c r="G243" s="10">
        <v>2888</v>
      </c>
      <c r="H243" s="10">
        <v>2003.55</v>
      </c>
      <c r="I243" s="10">
        <v>180500</v>
      </c>
      <c r="J243" s="62">
        <v>0.5</v>
      </c>
      <c r="L243" s="123"/>
      <c r="M243" s="123"/>
      <c r="N243" s="124"/>
      <c r="O243" s="125"/>
    </row>
    <row r="244" spans="1:15">
      <c r="A244" s="15" t="s">
        <v>145</v>
      </c>
      <c r="B244" s="25" t="s">
        <v>85</v>
      </c>
      <c r="C244" s="42">
        <v>2006</v>
      </c>
      <c r="D244" s="9">
        <v>41425</v>
      </c>
      <c r="E244" s="12" t="s">
        <v>67</v>
      </c>
      <c r="F244" s="12" t="s">
        <v>26</v>
      </c>
      <c r="G244" s="10">
        <v>2834.82</v>
      </c>
      <c r="H244" s="10">
        <v>1966.66</v>
      </c>
      <c r="I244" s="10">
        <v>177176.5</v>
      </c>
      <c r="J244" s="62">
        <v>0.5</v>
      </c>
      <c r="L244" s="123" t="str">
        <f>E245</f>
        <v>DIAS</v>
      </c>
      <c r="M244" s="123" t="s">
        <v>26</v>
      </c>
      <c r="N244" s="124">
        <f>I245</f>
        <v>474548.59</v>
      </c>
      <c r="O244" s="125">
        <f>J245</f>
        <v>1</v>
      </c>
    </row>
    <row r="245" spans="1:15">
      <c r="A245" s="15" t="s">
        <v>146</v>
      </c>
      <c r="B245" s="25" t="s">
        <v>82</v>
      </c>
      <c r="C245" s="39">
        <v>509</v>
      </c>
      <c r="D245" s="12">
        <v>41441</v>
      </c>
      <c r="E245" s="12" t="s">
        <v>67</v>
      </c>
      <c r="F245" s="12" t="s">
        <v>26</v>
      </c>
      <c r="G245" s="10">
        <v>7592.78</v>
      </c>
      <c r="H245" s="10">
        <v>5267.49</v>
      </c>
      <c r="I245" s="10">
        <v>474548.59</v>
      </c>
      <c r="J245" s="62">
        <v>1</v>
      </c>
      <c r="L245" s="123" t="str">
        <f>E246</f>
        <v>ESTHER</v>
      </c>
      <c r="M245" s="123" t="s">
        <v>79</v>
      </c>
      <c r="N245" s="124">
        <f>SUM(I246:I250)</f>
        <v>2862688.2800000003</v>
      </c>
      <c r="O245" s="125">
        <f>SUM(J246:J250)</f>
        <v>3.5</v>
      </c>
    </row>
    <row r="246" spans="1:15">
      <c r="A246" s="15" t="s">
        <v>219</v>
      </c>
      <c r="B246" s="25" t="s">
        <v>88</v>
      </c>
      <c r="C246" s="42">
        <v>148</v>
      </c>
      <c r="D246" s="9">
        <v>41335</v>
      </c>
      <c r="E246" s="12" t="s">
        <v>308</v>
      </c>
      <c r="F246" s="12" t="s">
        <v>26</v>
      </c>
      <c r="G246" s="10">
        <f>I246*1%</f>
        <v>1242.9000000000001</v>
      </c>
      <c r="H246" s="10"/>
      <c r="I246" s="10">
        <v>124290</v>
      </c>
      <c r="J246" s="34">
        <v>0.5</v>
      </c>
      <c r="L246" s="11"/>
      <c r="M246" s="11"/>
      <c r="N246" s="124"/>
      <c r="O246" s="125"/>
    </row>
    <row r="247" spans="1:15">
      <c r="A247" s="15" t="s">
        <v>124</v>
      </c>
      <c r="B247" s="25" t="s">
        <v>85</v>
      </c>
      <c r="C247" s="39">
        <v>712</v>
      </c>
      <c r="D247" s="12">
        <v>41343</v>
      </c>
      <c r="E247" s="12" t="s">
        <v>308</v>
      </c>
      <c r="F247" s="12" t="s">
        <v>26</v>
      </c>
      <c r="G247" s="10">
        <v>5055.78</v>
      </c>
      <c r="H247" s="10"/>
      <c r="I247" s="10">
        <v>186560</v>
      </c>
      <c r="J247" s="34">
        <v>0.5</v>
      </c>
      <c r="L247" s="11"/>
      <c r="M247" s="11"/>
      <c r="N247" s="124"/>
      <c r="O247" s="125"/>
    </row>
    <row r="248" spans="1:15">
      <c r="A248" s="15" t="s">
        <v>208</v>
      </c>
      <c r="B248" s="25" t="s">
        <v>226</v>
      </c>
      <c r="C248" s="39">
        <v>138</v>
      </c>
      <c r="D248" s="9">
        <v>41357</v>
      </c>
      <c r="E248" s="12" t="s">
        <v>308</v>
      </c>
      <c r="F248" s="12" t="s">
        <v>26</v>
      </c>
      <c r="G248" s="10">
        <v>3810.94</v>
      </c>
      <c r="H248" s="10"/>
      <c r="I248" s="10">
        <v>122538.28</v>
      </c>
      <c r="J248" s="62">
        <v>0.5</v>
      </c>
      <c r="L248" s="11"/>
      <c r="M248" s="11"/>
      <c r="N248" s="124"/>
      <c r="O248" s="125"/>
    </row>
    <row r="249" spans="1:15">
      <c r="A249" s="15" t="s">
        <v>213</v>
      </c>
      <c r="B249" s="25" t="s">
        <v>85</v>
      </c>
      <c r="C249" s="42">
        <v>171</v>
      </c>
      <c r="D249" s="9">
        <v>41386</v>
      </c>
      <c r="E249" s="12" t="s">
        <v>308</v>
      </c>
      <c r="F249" s="12" t="s">
        <v>26</v>
      </c>
      <c r="G249" s="10">
        <v>47265</v>
      </c>
      <c r="H249" s="10"/>
      <c r="I249" s="10">
        <v>2055000</v>
      </c>
      <c r="J249" s="62">
        <v>1</v>
      </c>
      <c r="L249" s="11"/>
      <c r="M249" s="11"/>
      <c r="N249" s="124"/>
      <c r="O249" s="125"/>
    </row>
    <row r="250" spans="1:15">
      <c r="A250" s="15" t="s">
        <v>115</v>
      </c>
      <c r="B250" s="25" t="s">
        <v>113</v>
      </c>
      <c r="C250" s="39">
        <v>173</v>
      </c>
      <c r="D250" s="12">
        <v>41283</v>
      </c>
      <c r="E250" s="12" t="s">
        <v>308</v>
      </c>
      <c r="F250" s="12" t="s">
        <v>26</v>
      </c>
      <c r="G250" s="10">
        <v>7486</v>
      </c>
      <c r="H250" s="10">
        <f>15503.51-G250</f>
        <v>8017.51</v>
      </c>
      <c r="I250" s="10">
        <v>374300</v>
      </c>
      <c r="J250" s="34">
        <v>1</v>
      </c>
      <c r="L250" s="123" t="str">
        <f>E251</f>
        <v>ESTHER</v>
      </c>
      <c r="M250" s="123" t="s">
        <v>26</v>
      </c>
      <c r="N250" s="124">
        <f>SUM(I251:I253)</f>
        <v>1483222.16</v>
      </c>
      <c r="O250" s="125">
        <f>SUM(J251:J253)</f>
        <v>3</v>
      </c>
    </row>
    <row r="251" spans="1:15">
      <c r="A251" s="15" t="s">
        <v>145</v>
      </c>
      <c r="B251" s="25" t="s">
        <v>85</v>
      </c>
      <c r="C251" s="39">
        <v>2210</v>
      </c>
      <c r="D251" s="12">
        <v>41423</v>
      </c>
      <c r="E251" s="12" t="s">
        <v>308</v>
      </c>
      <c r="F251" s="12" t="s">
        <v>26</v>
      </c>
      <c r="G251" s="10">
        <v>6278.87</v>
      </c>
      <c r="H251" s="10">
        <v>4355.97</v>
      </c>
      <c r="I251" s="10">
        <v>392429.48</v>
      </c>
      <c r="J251" s="34">
        <v>1</v>
      </c>
      <c r="L251" s="11"/>
      <c r="M251" s="11"/>
      <c r="N251" s="124"/>
      <c r="O251" s="125"/>
    </row>
    <row r="252" spans="1:15">
      <c r="A252" s="15" t="s">
        <v>145</v>
      </c>
      <c r="B252" s="25" t="s">
        <v>85</v>
      </c>
      <c r="C252" s="39">
        <v>2211</v>
      </c>
      <c r="D252" s="12">
        <v>41411</v>
      </c>
      <c r="E252" s="12" t="s">
        <v>308</v>
      </c>
      <c r="F252" s="12" t="s">
        <v>26</v>
      </c>
      <c r="G252" s="10">
        <v>6333.85</v>
      </c>
      <c r="H252" s="10">
        <v>4394.1099999999997</v>
      </c>
      <c r="I252" s="10">
        <v>395865.44</v>
      </c>
      <c r="J252" s="34">
        <v>1</v>
      </c>
      <c r="L252" s="11"/>
      <c r="M252" s="11"/>
      <c r="N252" s="124"/>
      <c r="O252" s="125"/>
    </row>
    <row r="253" spans="1:15">
      <c r="A253" s="15" t="s">
        <v>145</v>
      </c>
      <c r="B253" s="25" t="s">
        <v>85</v>
      </c>
      <c r="C253" s="39">
        <v>2212</v>
      </c>
      <c r="D253" s="12">
        <v>41411</v>
      </c>
      <c r="E253" s="12" t="s">
        <v>308</v>
      </c>
      <c r="F253" s="12" t="s">
        <v>26</v>
      </c>
      <c r="G253" s="10">
        <v>11118.84</v>
      </c>
      <c r="H253" s="10">
        <v>7713.69</v>
      </c>
      <c r="I253" s="10">
        <v>694927.24</v>
      </c>
      <c r="J253" s="34">
        <v>1</v>
      </c>
      <c r="L253" s="123" t="str">
        <f>E254</f>
        <v>ESTHER</v>
      </c>
      <c r="M253" s="123" t="s">
        <v>26</v>
      </c>
      <c r="N253" s="124">
        <f>SUM(I254:I259)</f>
        <v>2062476.4200000002</v>
      </c>
      <c r="O253" s="125">
        <f>SUM(J254:J259)</f>
        <v>4.5</v>
      </c>
    </row>
    <row r="254" spans="1:15">
      <c r="A254" s="15" t="s">
        <v>145</v>
      </c>
      <c r="B254" s="25" t="s">
        <v>85</v>
      </c>
      <c r="C254" s="42">
        <v>2411</v>
      </c>
      <c r="D254" s="9">
        <v>41411</v>
      </c>
      <c r="E254" s="12" t="s">
        <v>308</v>
      </c>
      <c r="F254" s="12" t="s">
        <v>26</v>
      </c>
      <c r="G254" s="10">
        <v>6333.85</v>
      </c>
      <c r="H254" s="10">
        <v>4394.1099999999997</v>
      </c>
      <c r="I254" s="10">
        <v>395865.44</v>
      </c>
      <c r="J254" s="62">
        <v>1</v>
      </c>
      <c r="L254" s="11"/>
      <c r="M254" s="11"/>
      <c r="N254" s="124"/>
      <c r="O254" s="125"/>
    </row>
    <row r="255" spans="1:15">
      <c r="A255" s="15" t="s">
        <v>145</v>
      </c>
      <c r="B255" s="25" t="s">
        <v>85</v>
      </c>
      <c r="C255" s="42">
        <v>2412</v>
      </c>
      <c r="D255" s="9">
        <v>41411</v>
      </c>
      <c r="E255" s="12" t="s">
        <v>308</v>
      </c>
      <c r="F255" s="12" t="s">
        <v>26</v>
      </c>
      <c r="G255" s="10">
        <v>11118.84</v>
      </c>
      <c r="H255" s="10">
        <v>7713.69</v>
      </c>
      <c r="I255" s="10">
        <v>694927.24</v>
      </c>
      <c r="J255" s="62">
        <v>1</v>
      </c>
      <c r="L255" s="11"/>
      <c r="M255" s="11"/>
      <c r="N255" s="124"/>
      <c r="O255" s="125"/>
    </row>
    <row r="256" spans="1:15">
      <c r="A256" s="15" t="s">
        <v>145</v>
      </c>
      <c r="B256" s="25" t="s">
        <v>85</v>
      </c>
      <c r="C256" s="42">
        <v>2010</v>
      </c>
      <c r="D256" s="9">
        <v>41420</v>
      </c>
      <c r="E256" s="12" t="s">
        <v>168</v>
      </c>
      <c r="F256" s="12" t="s">
        <v>26</v>
      </c>
      <c r="G256" s="10">
        <v>3199.8</v>
      </c>
      <c r="H256" s="10">
        <v>2219.86</v>
      </c>
      <c r="I256" s="10">
        <v>199987.05</v>
      </c>
      <c r="J256" s="62">
        <v>0.5</v>
      </c>
      <c r="L256" s="11"/>
      <c r="M256" s="11"/>
      <c r="N256" s="124"/>
      <c r="O256" s="125"/>
    </row>
    <row r="257" spans="1:15">
      <c r="A257" s="15" t="s">
        <v>145</v>
      </c>
      <c r="B257" s="25" t="s">
        <v>85</v>
      </c>
      <c r="C257" s="39">
        <v>1201</v>
      </c>
      <c r="D257" s="9">
        <v>41441</v>
      </c>
      <c r="E257" s="12" t="s">
        <v>168</v>
      </c>
      <c r="F257" s="12" t="s">
        <v>26</v>
      </c>
      <c r="G257" s="10">
        <v>2905.75</v>
      </c>
      <c r="H257" s="10">
        <v>2015.86</v>
      </c>
      <c r="I257" s="10">
        <v>181609.12</v>
      </c>
      <c r="J257" s="62">
        <v>0.5</v>
      </c>
      <c r="L257" s="11"/>
      <c r="M257" s="11"/>
      <c r="N257" s="124"/>
      <c r="O257" s="125"/>
    </row>
    <row r="258" spans="1:15">
      <c r="A258" s="15" t="s">
        <v>145</v>
      </c>
      <c r="B258" s="25" t="s">
        <v>85</v>
      </c>
      <c r="C258" s="39">
        <v>1811</v>
      </c>
      <c r="D258" s="12">
        <v>41413</v>
      </c>
      <c r="E258" s="12" t="s">
        <v>148</v>
      </c>
      <c r="F258" s="12" t="s">
        <v>26</v>
      </c>
      <c r="G258" s="10">
        <v>6241.61</v>
      </c>
      <c r="H258" s="10">
        <v>4330.12</v>
      </c>
      <c r="I258" s="10">
        <v>390100.52</v>
      </c>
      <c r="J258" s="62">
        <v>1</v>
      </c>
      <c r="L258" s="11"/>
      <c r="M258" s="11"/>
      <c r="N258" s="124"/>
      <c r="O258" s="125"/>
    </row>
    <row r="259" spans="1:15">
      <c r="A259" s="15" t="s">
        <v>145</v>
      </c>
      <c r="B259" s="25" t="s">
        <v>85</v>
      </c>
      <c r="C259" s="42">
        <v>2010</v>
      </c>
      <c r="D259" s="9">
        <v>41420</v>
      </c>
      <c r="E259" s="12" t="s">
        <v>148</v>
      </c>
      <c r="F259" s="12" t="s">
        <v>26</v>
      </c>
      <c r="G259" s="10">
        <v>3199.8</v>
      </c>
      <c r="H259" s="10">
        <v>2219.86</v>
      </c>
      <c r="I259" s="10">
        <v>199987.05</v>
      </c>
      <c r="J259" s="62">
        <v>0.5</v>
      </c>
      <c r="L259" s="123" t="str">
        <f>E260</f>
        <v>HAMILTON</v>
      </c>
      <c r="M259" s="123" t="s">
        <v>79</v>
      </c>
      <c r="N259" s="124">
        <f>I260</f>
        <v>214848.07</v>
      </c>
      <c r="O259" s="125">
        <f>J260</f>
        <v>0.5</v>
      </c>
    </row>
    <row r="260" spans="1:15">
      <c r="A260" s="15" t="s">
        <v>124</v>
      </c>
      <c r="B260" s="25" t="s">
        <v>85</v>
      </c>
      <c r="C260" s="39">
        <v>101</v>
      </c>
      <c r="D260" s="9">
        <v>41343</v>
      </c>
      <c r="E260" s="12" t="s">
        <v>69</v>
      </c>
      <c r="F260" s="12" t="s">
        <v>26</v>
      </c>
      <c r="G260" s="10">
        <v>5822.36</v>
      </c>
      <c r="H260" s="10"/>
      <c r="I260" s="10">
        <v>214848.07</v>
      </c>
      <c r="J260" s="62">
        <v>0.5</v>
      </c>
      <c r="L260" s="123" t="str">
        <f>E261</f>
        <v>HAROLDO</v>
      </c>
      <c r="M260" s="123" t="s">
        <v>27</v>
      </c>
      <c r="N260" s="124">
        <f>SUM(I261:I267)</f>
        <v>2215720.7000000002</v>
      </c>
      <c r="O260" s="125">
        <f>SUM(J261:J267)</f>
        <v>5.25</v>
      </c>
    </row>
    <row r="261" spans="1:15">
      <c r="A261" s="15" t="s">
        <v>124</v>
      </c>
      <c r="B261" s="25" t="s">
        <v>85</v>
      </c>
      <c r="C261" s="39">
        <v>112</v>
      </c>
      <c r="D261" s="9">
        <v>41344</v>
      </c>
      <c r="E261" s="12" t="s">
        <v>68</v>
      </c>
      <c r="F261" s="12" t="s">
        <v>26</v>
      </c>
      <c r="G261" s="10">
        <v>11644.77</v>
      </c>
      <c r="H261" s="10"/>
      <c r="I261" s="10">
        <v>429696.14</v>
      </c>
      <c r="J261" s="34">
        <v>1</v>
      </c>
      <c r="L261" s="11"/>
      <c r="M261" s="11"/>
      <c r="N261" s="124"/>
      <c r="O261" s="125"/>
    </row>
    <row r="262" spans="1:15">
      <c r="A262" s="15" t="s">
        <v>145</v>
      </c>
      <c r="B262" s="25" t="s">
        <v>85</v>
      </c>
      <c r="C262" s="42">
        <v>2011</v>
      </c>
      <c r="D262" s="9">
        <v>41420</v>
      </c>
      <c r="E262" s="12" t="s">
        <v>169</v>
      </c>
      <c r="F262" s="12" t="s">
        <v>26</v>
      </c>
      <c r="G262" s="10">
        <v>3199.8</v>
      </c>
      <c r="H262" s="10">
        <v>2219.86</v>
      </c>
      <c r="I262" s="10">
        <v>199987.05</v>
      </c>
      <c r="J262" s="62">
        <v>0.5</v>
      </c>
      <c r="L262" s="11"/>
      <c r="M262" s="11"/>
      <c r="N262" s="124"/>
      <c r="O262" s="125"/>
    </row>
    <row r="263" spans="1:15">
      <c r="A263" s="15" t="s">
        <v>124</v>
      </c>
      <c r="B263" s="25" t="s">
        <v>85</v>
      </c>
      <c r="C263" s="39">
        <v>301</v>
      </c>
      <c r="D263" s="9">
        <v>41343</v>
      </c>
      <c r="E263" s="12" t="s">
        <v>104</v>
      </c>
      <c r="F263" s="12" t="s">
        <v>26</v>
      </c>
      <c r="G263" s="10">
        <v>5822.39</v>
      </c>
      <c r="H263" s="10"/>
      <c r="I263" s="10">
        <v>214848.07</v>
      </c>
      <c r="J263" s="34">
        <v>0.5</v>
      </c>
      <c r="L263" s="11"/>
      <c r="M263" s="11"/>
      <c r="N263" s="124"/>
      <c r="O263" s="125"/>
    </row>
    <row r="264" spans="1:15">
      <c r="A264" s="15" t="s">
        <v>124</v>
      </c>
      <c r="B264" s="25" t="s">
        <v>85</v>
      </c>
      <c r="C264" s="39">
        <v>302</v>
      </c>
      <c r="D264" s="9">
        <v>41343</v>
      </c>
      <c r="E264" s="12" t="s">
        <v>104</v>
      </c>
      <c r="F264" s="12" t="s">
        <v>26</v>
      </c>
      <c r="G264" s="10">
        <v>2867.33</v>
      </c>
      <c r="H264" s="10"/>
      <c r="I264" s="10">
        <v>109440</v>
      </c>
      <c r="J264" s="62">
        <v>0.25</v>
      </c>
      <c r="L264" s="11"/>
      <c r="M264" s="11"/>
      <c r="N264" s="124"/>
      <c r="O264" s="125"/>
    </row>
    <row r="265" spans="1:15">
      <c r="A265" s="15" t="s">
        <v>145</v>
      </c>
      <c r="B265" s="25" t="s">
        <v>85</v>
      </c>
      <c r="C265" s="42">
        <v>1507</v>
      </c>
      <c r="D265" s="9">
        <v>41420</v>
      </c>
      <c r="E265" s="12" t="s">
        <v>104</v>
      </c>
      <c r="F265" s="12" t="s">
        <v>26</v>
      </c>
      <c r="G265" s="10">
        <v>6100</v>
      </c>
      <c r="H265" s="10">
        <v>0</v>
      </c>
      <c r="I265" s="10">
        <v>381250</v>
      </c>
      <c r="J265" s="62">
        <v>1</v>
      </c>
      <c r="L265" s="11"/>
      <c r="M265" s="11"/>
      <c r="N265" s="124"/>
      <c r="O265" s="125"/>
    </row>
    <row r="266" spans="1:15">
      <c r="A266" s="15" t="s">
        <v>124</v>
      </c>
      <c r="B266" s="25" t="s">
        <v>85</v>
      </c>
      <c r="C266" s="39">
        <v>606</v>
      </c>
      <c r="D266" s="9">
        <v>41343</v>
      </c>
      <c r="E266" s="12" t="s">
        <v>66</v>
      </c>
      <c r="F266" s="12" t="s">
        <v>26</v>
      </c>
      <c r="G266" s="10">
        <v>11930.77</v>
      </c>
      <c r="H266" s="10"/>
      <c r="I266" s="10">
        <v>440249.72</v>
      </c>
      <c r="J266" s="34">
        <v>1</v>
      </c>
      <c r="L266" s="11"/>
      <c r="M266" s="11"/>
      <c r="N266" s="124"/>
      <c r="O266" s="125"/>
    </row>
    <row r="267" spans="1:15">
      <c r="A267" s="15" t="s">
        <v>124</v>
      </c>
      <c r="B267" s="25" t="s">
        <v>85</v>
      </c>
      <c r="C267" s="39">
        <v>607</v>
      </c>
      <c r="D267" s="9">
        <v>41343</v>
      </c>
      <c r="E267" s="12" t="s">
        <v>66</v>
      </c>
      <c r="F267" s="12" t="s">
        <v>26</v>
      </c>
      <c r="G267" s="10">
        <v>11930.77</v>
      </c>
      <c r="H267" s="10"/>
      <c r="I267" s="10">
        <v>440249.72</v>
      </c>
      <c r="J267" s="34">
        <v>1</v>
      </c>
      <c r="L267" s="123" t="str">
        <f>E268</f>
        <v>KATE</v>
      </c>
      <c r="M267" s="123" t="s">
        <v>25</v>
      </c>
      <c r="N267" s="124">
        <f>SUM(I268:I269)</f>
        <v>836000</v>
      </c>
      <c r="O267" s="125">
        <f>SUM(J268:J269)</f>
        <v>2</v>
      </c>
    </row>
    <row r="268" spans="1:15">
      <c r="A268" s="15" t="s">
        <v>124</v>
      </c>
      <c r="B268" s="25" t="s">
        <v>85</v>
      </c>
      <c r="C268" s="39">
        <v>901</v>
      </c>
      <c r="D268" s="9">
        <v>41343</v>
      </c>
      <c r="E268" s="12" t="s">
        <v>66</v>
      </c>
      <c r="F268" s="12" t="s">
        <v>26</v>
      </c>
      <c r="G268" s="10">
        <v>11327.8</v>
      </c>
      <c r="H268" s="10"/>
      <c r="I268" s="10">
        <v>418000</v>
      </c>
      <c r="J268" s="34">
        <v>1</v>
      </c>
      <c r="L268" s="11"/>
      <c r="M268" s="11"/>
      <c r="N268" s="124"/>
      <c r="O268" s="125"/>
    </row>
    <row r="269" spans="1:15">
      <c r="A269" s="15" t="s">
        <v>124</v>
      </c>
      <c r="B269" s="25" t="s">
        <v>85</v>
      </c>
      <c r="C269" s="39">
        <v>912</v>
      </c>
      <c r="D269" s="9">
        <v>41343</v>
      </c>
      <c r="E269" s="12" t="s">
        <v>66</v>
      </c>
      <c r="F269" s="12" t="s">
        <v>26</v>
      </c>
      <c r="G269" s="10">
        <v>11327.8</v>
      </c>
      <c r="H269" s="10"/>
      <c r="I269" s="10">
        <v>418000</v>
      </c>
      <c r="J269" s="34">
        <v>1</v>
      </c>
      <c r="L269" s="123" t="str">
        <f>E270</f>
        <v>KATE</v>
      </c>
      <c r="M269" s="123" t="s">
        <v>24</v>
      </c>
      <c r="N269" s="124">
        <f>SUM(I270:I273)</f>
        <v>1853930.63</v>
      </c>
      <c r="O269" s="125">
        <f>SUM(J270:J273)</f>
        <v>3.5</v>
      </c>
    </row>
    <row r="270" spans="1:15">
      <c r="A270" s="15" t="s">
        <v>124</v>
      </c>
      <c r="B270" s="25" t="s">
        <v>85</v>
      </c>
      <c r="C270" s="39">
        <v>1102</v>
      </c>
      <c r="D270" s="9">
        <v>41343</v>
      </c>
      <c r="E270" s="12" t="s">
        <v>66</v>
      </c>
      <c r="F270" s="12" t="s">
        <v>26</v>
      </c>
      <c r="G270" s="10">
        <v>13487.09</v>
      </c>
      <c r="H270" s="10"/>
      <c r="I270" s="10">
        <v>497678.49</v>
      </c>
      <c r="J270" s="34">
        <v>1</v>
      </c>
      <c r="L270" s="11"/>
      <c r="M270" s="11"/>
      <c r="N270" s="124"/>
      <c r="O270" s="125"/>
    </row>
    <row r="271" spans="1:15">
      <c r="A271" s="15" t="s">
        <v>124</v>
      </c>
      <c r="B271" s="25" t="s">
        <v>85</v>
      </c>
      <c r="C271" s="39">
        <v>1103</v>
      </c>
      <c r="D271" s="9">
        <v>41343</v>
      </c>
      <c r="E271" s="12" t="s">
        <v>66</v>
      </c>
      <c r="F271" s="12" t="s">
        <v>26</v>
      </c>
      <c r="G271" s="10">
        <v>13061.17</v>
      </c>
      <c r="H271" s="10"/>
      <c r="I271" s="10">
        <v>481962.14</v>
      </c>
      <c r="J271" s="34">
        <v>1</v>
      </c>
      <c r="L271" s="11"/>
      <c r="M271" s="11"/>
      <c r="N271" s="124"/>
      <c r="O271" s="125"/>
    </row>
    <row r="272" spans="1:15">
      <c r="A272" s="15" t="s">
        <v>219</v>
      </c>
      <c r="B272" s="25" t="s">
        <v>88</v>
      </c>
      <c r="C272" s="42">
        <v>148</v>
      </c>
      <c r="D272" s="9">
        <v>41335</v>
      </c>
      <c r="E272" s="12" t="s">
        <v>56</v>
      </c>
      <c r="F272" s="12" t="s">
        <v>26</v>
      </c>
      <c r="G272" s="10">
        <f>I272*1%</f>
        <v>1242.9000000000001</v>
      </c>
      <c r="H272" s="10"/>
      <c r="I272" s="10">
        <v>124290</v>
      </c>
      <c r="J272" s="34">
        <v>0.5</v>
      </c>
      <c r="L272" s="11"/>
      <c r="M272" s="11"/>
      <c r="N272" s="124"/>
      <c r="O272" s="125"/>
    </row>
    <row r="273" spans="1:15">
      <c r="A273" s="15" t="s">
        <v>54</v>
      </c>
      <c r="B273" s="25" t="s">
        <v>121</v>
      </c>
      <c r="C273" s="42">
        <v>43</v>
      </c>
      <c r="D273" s="9">
        <v>41354</v>
      </c>
      <c r="E273" s="12" t="s">
        <v>56</v>
      </c>
      <c r="F273" s="12" t="s">
        <v>26</v>
      </c>
      <c r="G273" s="10">
        <f>I273*2%</f>
        <v>15000</v>
      </c>
      <c r="H273" s="10"/>
      <c r="I273" s="10">
        <v>750000</v>
      </c>
      <c r="J273" s="34">
        <v>1</v>
      </c>
      <c r="L273" s="123" t="str">
        <f>E274</f>
        <v>LUSIMERE</v>
      </c>
      <c r="M273" s="123" t="s">
        <v>25</v>
      </c>
      <c r="N273" s="124">
        <f>SUM(I274:I279)</f>
        <v>4668899.5199999996</v>
      </c>
      <c r="O273" s="125">
        <f>SUM(J274:J279)</f>
        <v>5.25</v>
      </c>
    </row>
    <row r="274" spans="1:15">
      <c r="A274" s="15" t="s">
        <v>54</v>
      </c>
      <c r="B274" s="25" t="s">
        <v>121</v>
      </c>
      <c r="C274" s="39">
        <v>154</v>
      </c>
      <c r="D274" s="9">
        <v>41346</v>
      </c>
      <c r="E274" s="12" t="s">
        <v>56</v>
      </c>
      <c r="F274" s="12" t="s">
        <v>26</v>
      </c>
      <c r="G274" s="10">
        <f>I274*0.4%</f>
        <v>3040</v>
      </c>
      <c r="H274" s="10"/>
      <c r="I274" s="10">
        <v>760000</v>
      </c>
      <c r="J274" s="34">
        <v>1</v>
      </c>
      <c r="L274" s="11"/>
      <c r="M274" s="11"/>
      <c r="N274" s="124"/>
      <c r="O274" s="125"/>
    </row>
    <row r="275" spans="1:15">
      <c r="A275" s="11" t="s">
        <v>269</v>
      </c>
      <c r="B275" s="25" t="s">
        <v>85</v>
      </c>
      <c r="C275" s="25">
        <v>151</v>
      </c>
      <c r="D275" s="98">
        <v>41439</v>
      </c>
      <c r="E275" s="25" t="s">
        <v>267</v>
      </c>
      <c r="F275" s="25" t="s">
        <v>26</v>
      </c>
      <c r="G275" s="105">
        <v>20947.29</v>
      </c>
      <c r="H275" s="105">
        <v>0</v>
      </c>
      <c r="I275" s="105">
        <v>568250</v>
      </c>
      <c r="J275" s="25">
        <v>0.25</v>
      </c>
      <c r="L275" s="11"/>
      <c r="M275" s="11"/>
      <c r="N275" s="124"/>
      <c r="O275" s="125"/>
    </row>
    <row r="276" spans="1:15">
      <c r="A276" s="15" t="s">
        <v>145</v>
      </c>
      <c r="B276" s="25" t="s">
        <v>85</v>
      </c>
      <c r="C276" s="39">
        <v>1013</v>
      </c>
      <c r="D276" s="12">
        <v>41411</v>
      </c>
      <c r="E276" s="12" t="s">
        <v>147</v>
      </c>
      <c r="F276" s="25" t="s">
        <v>26</v>
      </c>
      <c r="G276" s="10">
        <v>7429.1</v>
      </c>
      <c r="H276" s="10">
        <v>5153.9399999999996</v>
      </c>
      <c r="I276" s="10">
        <v>464318.64</v>
      </c>
      <c r="J276" s="62">
        <v>1</v>
      </c>
      <c r="L276" s="11"/>
      <c r="M276" s="11"/>
      <c r="N276" s="124"/>
      <c r="O276" s="125"/>
    </row>
    <row r="277" spans="1:15">
      <c r="A277" s="15" t="s">
        <v>145</v>
      </c>
      <c r="B277" s="25" t="s">
        <v>85</v>
      </c>
      <c r="C277" s="39">
        <v>1115</v>
      </c>
      <c r="D277" s="12">
        <v>41413</v>
      </c>
      <c r="E277" s="12" t="s">
        <v>147</v>
      </c>
      <c r="F277" s="25" t="s">
        <v>26</v>
      </c>
      <c r="G277" s="10">
        <f>I277*1.6%</f>
        <v>5712.1707200000001</v>
      </c>
      <c r="H277" s="10">
        <f>I277*1.11%</f>
        <v>3962.8184369999999</v>
      </c>
      <c r="I277" s="10">
        <v>357010.67</v>
      </c>
      <c r="J277" s="62">
        <v>1</v>
      </c>
      <c r="L277" s="11"/>
      <c r="M277" s="11"/>
      <c r="N277" s="124"/>
      <c r="O277" s="125"/>
    </row>
    <row r="278" spans="1:15">
      <c r="A278" s="15" t="s">
        <v>145</v>
      </c>
      <c r="B278" s="25" t="s">
        <v>85</v>
      </c>
      <c r="C278" s="39">
        <v>1908</v>
      </c>
      <c r="D278" s="12">
        <v>41413</v>
      </c>
      <c r="E278" s="12" t="s">
        <v>147</v>
      </c>
      <c r="F278" s="25" t="s">
        <v>26</v>
      </c>
      <c r="G278" s="10">
        <v>7509.12</v>
      </c>
      <c r="H278" s="10">
        <v>5209.45</v>
      </c>
      <c r="I278" s="10">
        <v>469320.21</v>
      </c>
      <c r="J278" s="62">
        <v>1</v>
      </c>
      <c r="L278" s="11"/>
      <c r="M278" s="11"/>
      <c r="N278" s="124"/>
      <c r="O278" s="125"/>
    </row>
    <row r="279" spans="1:15">
      <c r="A279" s="15" t="s">
        <v>213</v>
      </c>
      <c r="B279" s="25" t="s">
        <v>225</v>
      </c>
      <c r="C279" s="42">
        <v>181</v>
      </c>
      <c r="D279" s="9">
        <v>41344</v>
      </c>
      <c r="E279" s="12" t="s">
        <v>309</v>
      </c>
      <c r="F279" s="12" t="s">
        <v>26</v>
      </c>
      <c r="G279" s="10">
        <f>I279*1.6%</f>
        <v>32800</v>
      </c>
      <c r="H279" s="10"/>
      <c r="I279" s="10">
        <v>2050000</v>
      </c>
      <c r="J279" s="34">
        <v>1</v>
      </c>
      <c r="L279" s="123" t="str">
        <f>E280</f>
        <v>MARTA</v>
      </c>
      <c r="M279" s="123" t="s">
        <v>24</v>
      </c>
      <c r="N279" s="124">
        <f>I280</f>
        <v>446880.01</v>
      </c>
      <c r="O279" s="125">
        <f>J280</f>
        <v>1</v>
      </c>
    </row>
    <row r="280" spans="1:15">
      <c r="A280" s="15" t="s">
        <v>124</v>
      </c>
      <c r="B280" s="25" t="s">
        <v>85</v>
      </c>
      <c r="C280" s="39">
        <v>608</v>
      </c>
      <c r="D280" s="9">
        <v>41344</v>
      </c>
      <c r="E280" s="12" t="s">
        <v>309</v>
      </c>
      <c r="F280" s="12" t="s">
        <v>26</v>
      </c>
      <c r="G280" s="10">
        <v>12110.45</v>
      </c>
      <c r="H280" s="10"/>
      <c r="I280" s="10">
        <v>446880.01</v>
      </c>
      <c r="J280" s="34">
        <v>1</v>
      </c>
      <c r="L280" s="123" t="str">
        <f>E281</f>
        <v>MARTA</v>
      </c>
      <c r="M280" s="123" t="s">
        <v>24</v>
      </c>
      <c r="N280" s="124">
        <f>SUM(I281:I287)</f>
        <v>2468389.27</v>
      </c>
      <c r="O280" s="125">
        <f>SUM(J281:J287)</f>
        <v>6</v>
      </c>
    </row>
    <row r="281" spans="1:15">
      <c r="A281" s="15" t="s">
        <v>124</v>
      </c>
      <c r="B281" s="25" t="s">
        <v>85</v>
      </c>
      <c r="C281" s="39">
        <v>906</v>
      </c>
      <c r="D281" s="9">
        <v>41344</v>
      </c>
      <c r="E281" s="12" t="s">
        <v>309</v>
      </c>
      <c r="F281" s="12" t="s">
        <v>26</v>
      </c>
      <c r="G281" s="10">
        <v>5921.35</v>
      </c>
      <c r="H281" s="10"/>
      <c r="I281" s="10">
        <v>218500</v>
      </c>
      <c r="J281" s="34">
        <v>0.5</v>
      </c>
      <c r="L281" s="11"/>
      <c r="M281" s="11"/>
      <c r="N281" s="124"/>
      <c r="O281" s="125"/>
    </row>
    <row r="282" spans="1:15">
      <c r="A282" s="15" t="s">
        <v>124</v>
      </c>
      <c r="B282" s="25" t="s">
        <v>85</v>
      </c>
      <c r="C282" s="39">
        <v>1107</v>
      </c>
      <c r="D282" s="9">
        <v>41344</v>
      </c>
      <c r="E282" s="12" t="s">
        <v>309</v>
      </c>
      <c r="F282" s="12" t="s">
        <v>26</v>
      </c>
      <c r="G282" s="10">
        <v>11037.01</v>
      </c>
      <c r="H282" s="10"/>
      <c r="I282" s="10">
        <v>407269.77</v>
      </c>
      <c r="J282" s="34">
        <v>1</v>
      </c>
      <c r="L282" s="11"/>
      <c r="M282" s="11"/>
      <c r="N282" s="124"/>
      <c r="O282" s="125"/>
    </row>
    <row r="283" spans="1:15">
      <c r="A283" s="15" t="s">
        <v>124</v>
      </c>
      <c r="B283" s="25" t="s">
        <v>85</v>
      </c>
      <c r="C283" s="39">
        <v>1407</v>
      </c>
      <c r="D283" s="9">
        <v>41344</v>
      </c>
      <c r="E283" s="12" t="s">
        <v>309</v>
      </c>
      <c r="F283" s="12" t="s">
        <v>26</v>
      </c>
      <c r="G283" s="10">
        <v>11203.49</v>
      </c>
      <c r="H283" s="10"/>
      <c r="I283" s="10">
        <v>413413</v>
      </c>
      <c r="J283" s="34">
        <v>1</v>
      </c>
      <c r="L283" s="11"/>
      <c r="M283" s="11"/>
      <c r="N283" s="124"/>
      <c r="O283" s="125"/>
    </row>
    <row r="284" spans="1:15">
      <c r="A284" s="15" t="s">
        <v>124</v>
      </c>
      <c r="B284" s="25" t="s">
        <v>85</v>
      </c>
      <c r="C284" s="39">
        <v>1408</v>
      </c>
      <c r="D284" s="9">
        <v>41344</v>
      </c>
      <c r="E284" s="12" t="s">
        <v>309</v>
      </c>
      <c r="F284" s="12" t="s">
        <v>26</v>
      </c>
      <c r="G284" s="10">
        <v>11363.84</v>
      </c>
      <c r="H284" s="10"/>
      <c r="I284" s="10">
        <v>419330</v>
      </c>
      <c r="J284" s="34">
        <v>1</v>
      </c>
      <c r="L284" s="11"/>
      <c r="M284" s="11"/>
      <c r="N284" s="124"/>
      <c r="O284" s="125"/>
    </row>
    <row r="285" spans="1:15">
      <c r="A285" s="15" t="s">
        <v>145</v>
      </c>
      <c r="B285" s="25" t="s">
        <v>85</v>
      </c>
      <c r="C285" s="42">
        <v>504</v>
      </c>
      <c r="D285" s="9">
        <v>41422</v>
      </c>
      <c r="E285" s="12" t="s">
        <v>309</v>
      </c>
      <c r="F285" s="12" t="s">
        <v>26</v>
      </c>
      <c r="G285" s="10">
        <v>7632</v>
      </c>
      <c r="H285" s="10">
        <v>1774.44</v>
      </c>
      <c r="I285" s="10">
        <v>477000</v>
      </c>
      <c r="J285" s="62">
        <v>1</v>
      </c>
      <c r="L285" s="11"/>
      <c r="M285" s="11"/>
      <c r="N285" s="124"/>
      <c r="O285" s="125"/>
    </row>
    <row r="286" spans="1:15">
      <c r="A286" s="15" t="s">
        <v>145</v>
      </c>
      <c r="B286" s="25" t="s">
        <v>85</v>
      </c>
      <c r="C286" s="39">
        <v>1410</v>
      </c>
      <c r="D286" s="9">
        <v>41413</v>
      </c>
      <c r="E286" s="12" t="s">
        <v>309</v>
      </c>
      <c r="F286" s="12" t="s">
        <v>26</v>
      </c>
      <c r="G286" s="10">
        <v>5691.2</v>
      </c>
      <c r="H286" s="10">
        <v>3948.27</v>
      </c>
      <c r="I286" s="10">
        <v>355700</v>
      </c>
      <c r="J286" s="62">
        <v>1</v>
      </c>
      <c r="L286" s="11"/>
      <c r="M286" s="11"/>
      <c r="N286" s="124"/>
      <c r="O286" s="125"/>
    </row>
    <row r="287" spans="1:15">
      <c r="A287" s="15" t="s">
        <v>145</v>
      </c>
      <c r="B287" s="25" t="s">
        <v>85</v>
      </c>
      <c r="C287" s="42">
        <v>2006</v>
      </c>
      <c r="D287" s="9">
        <v>41425</v>
      </c>
      <c r="E287" s="12" t="s">
        <v>309</v>
      </c>
      <c r="F287" s="12" t="s">
        <v>26</v>
      </c>
      <c r="G287" s="10">
        <v>2834.82</v>
      </c>
      <c r="H287" s="10">
        <v>1966.66</v>
      </c>
      <c r="I287" s="10">
        <v>177176.5</v>
      </c>
      <c r="J287" s="62">
        <v>0.5</v>
      </c>
      <c r="L287" s="123" t="str">
        <f>E288</f>
        <v>MAURO</v>
      </c>
      <c r="M287" s="123" t="s">
        <v>61</v>
      </c>
      <c r="N287" s="124">
        <f>SUM(I288:I289)</f>
        <v>585714.5</v>
      </c>
      <c r="O287" s="125">
        <f>SUM(J288:J289)</f>
        <v>2</v>
      </c>
    </row>
    <row r="288" spans="1:15">
      <c r="A288" s="15" t="s">
        <v>57</v>
      </c>
      <c r="B288" s="25" t="s">
        <v>85</v>
      </c>
      <c r="C288" s="42">
        <v>196</v>
      </c>
      <c r="D288" s="9">
        <v>41439</v>
      </c>
      <c r="E288" s="12" t="s">
        <v>253</v>
      </c>
      <c r="F288" s="12" t="s">
        <v>26</v>
      </c>
      <c r="G288" s="10">
        <v>6670.29</v>
      </c>
      <c r="H288" s="10">
        <v>0</v>
      </c>
      <c r="I288" s="10">
        <v>333514.5</v>
      </c>
      <c r="J288" s="62">
        <v>1</v>
      </c>
      <c r="L288" s="11"/>
      <c r="M288" s="11"/>
      <c r="N288" s="124"/>
      <c r="O288" s="125"/>
    </row>
    <row r="289" spans="1:15">
      <c r="A289" s="15" t="s">
        <v>57</v>
      </c>
      <c r="B289" s="25" t="s">
        <v>226</v>
      </c>
      <c r="C289" s="42">
        <v>128</v>
      </c>
      <c r="D289" s="9">
        <v>41281</v>
      </c>
      <c r="E289" s="12" t="s">
        <v>20</v>
      </c>
      <c r="F289" s="12" t="s">
        <v>26</v>
      </c>
      <c r="G289" s="10">
        <v>5044</v>
      </c>
      <c r="H289" s="10">
        <f>7843.42-G289</f>
        <v>2799.42</v>
      </c>
      <c r="I289" s="10">
        <v>252200</v>
      </c>
      <c r="J289" s="34">
        <v>1</v>
      </c>
      <c r="L289" s="123" t="str">
        <f>E290</f>
        <v>TINO</v>
      </c>
      <c r="M289" s="123" t="s">
        <v>26</v>
      </c>
      <c r="N289" s="124">
        <f>SUM(I290:I292)</f>
        <v>1805310</v>
      </c>
      <c r="O289" s="125">
        <f>SUM(J290:J292)</f>
        <v>3</v>
      </c>
    </row>
    <row r="290" spans="1:15">
      <c r="A290" s="15" t="s">
        <v>53</v>
      </c>
      <c r="B290" s="25" t="s">
        <v>82</v>
      </c>
      <c r="C290" s="39">
        <v>11</v>
      </c>
      <c r="D290" s="12">
        <v>41371</v>
      </c>
      <c r="E290" s="12" t="s">
        <v>20</v>
      </c>
      <c r="F290" s="12" t="s">
        <v>26</v>
      </c>
      <c r="G290" s="10">
        <f>I290*1.6%</f>
        <v>8000</v>
      </c>
      <c r="H290" s="10"/>
      <c r="I290" s="10">
        <v>500000</v>
      </c>
      <c r="J290" s="34">
        <v>1</v>
      </c>
      <c r="L290" s="11"/>
      <c r="M290" s="11"/>
      <c r="N290" s="124"/>
      <c r="O290" s="125"/>
    </row>
    <row r="291" spans="1:15">
      <c r="A291" s="15" t="s">
        <v>53</v>
      </c>
      <c r="B291" s="25" t="s">
        <v>82</v>
      </c>
      <c r="C291" s="39">
        <v>62</v>
      </c>
      <c r="D291" s="12">
        <v>41378</v>
      </c>
      <c r="E291" s="12" t="s">
        <v>20</v>
      </c>
      <c r="F291" s="12" t="s">
        <v>26</v>
      </c>
      <c r="G291" s="10">
        <f>I291*1.6%</f>
        <v>10216.800000000001</v>
      </c>
      <c r="H291" s="10"/>
      <c r="I291" s="10">
        <v>638550</v>
      </c>
      <c r="J291" s="34">
        <v>1</v>
      </c>
      <c r="L291" s="11"/>
      <c r="M291" s="11"/>
      <c r="N291" s="124"/>
      <c r="O291" s="125"/>
    </row>
    <row r="292" spans="1:15">
      <c r="A292" s="15" t="s">
        <v>53</v>
      </c>
      <c r="B292" s="25" t="s">
        <v>82</v>
      </c>
      <c r="C292" s="39">
        <v>63</v>
      </c>
      <c r="D292" s="12">
        <v>41378</v>
      </c>
      <c r="E292" s="12" t="s">
        <v>20</v>
      </c>
      <c r="F292" s="12" t="s">
        <v>26</v>
      </c>
      <c r="G292" s="10">
        <f>I292*1.6%</f>
        <v>10668.16</v>
      </c>
      <c r="H292" s="10"/>
      <c r="I292" s="10">
        <v>666760</v>
      </c>
      <c r="J292" s="34">
        <v>1</v>
      </c>
      <c r="L292" s="123" t="str">
        <f>E293</f>
        <v>VERA</v>
      </c>
      <c r="M292" s="123" t="s">
        <v>27</v>
      </c>
      <c r="N292" s="124">
        <f>SUM(I293:I301)</f>
        <v>6678468.5499999998</v>
      </c>
      <c r="O292" s="125">
        <f>SUM(J293:J301)</f>
        <v>9</v>
      </c>
    </row>
    <row r="293" spans="1:15">
      <c r="A293" s="15" t="s">
        <v>89</v>
      </c>
      <c r="B293" s="25" t="s">
        <v>225</v>
      </c>
      <c r="C293" s="39">
        <v>101</v>
      </c>
      <c r="D293" s="9">
        <v>41333</v>
      </c>
      <c r="E293" s="12" t="s">
        <v>52</v>
      </c>
      <c r="F293" s="12" t="s">
        <v>26</v>
      </c>
      <c r="G293" s="10">
        <f>I293*2%</f>
        <v>43800</v>
      </c>
      <c r="H293" s="10">
        <f>68109-G293</f>
        <v>24309</v>
      </c>
      <c r="I293" s="10">
        <v>2190000</v>
      </c>
      <c r="J293" s="34">
        <v>1</v>
      </c>
      <c r="L293" s="11"/>
      <c r="M293" s="11"/>
      <c r="N293" s="124"/>
      <c r="O293" s="125"/>
    </row>
    <row r="294" spans="1:15">
      <c r="A294" s="15" t="s">
        <v>269</v>
      </c>
      <c r="B294" s="25" t="s">
        <v>85</v>
      </c>
      <c r="C294" s="39">
        <v>131</v>
      </c>
      <c r="D294" s="12">
        <v>41452</v>
      </c>
      <c r="E294" s="12" t="s">
        <v>52</v>
      </c>
      <c r="F294" s="12" t="s">
        <v>26</v>
      </c>
      <c r="G294" s="10">
        <f>I294*2%</f>
        <v>46000</v>
      </c>
      <c r="H294" s="10">
        <f>71530-G294</f>
        <v>25530</v>
      </c>
      <c r="I294" s="10">
        <v>2300000</v>
      </c>
      <c r="J294" s="34">
        <v>1</v>
      </c>
      <c r="L294" s="11"/>
      <c r="M294" s="11"/>
      <c r="N294" s="124"/>
      <c r="O294" s="125"/>
    </row>
    <row r="295" spans="1:15">
      <c r="A295" s="15" t="s">
        <v>120</v>
      </c>
      <c r="B295" s="25" t="s">
        <v>201</v>
      </c>
      <c r="C295" s="42" t="s">
        <v>242</v>
      </c>
      <c r="D295" s="9">
        <v>41313</v>
      </c>
      <c r="E295" s="12" t="s">
        <v>45</v>
      </c>
      <c r="F295" s="12" t="s">
        <v>32</v>
      </c>
      <c r="G295" s="10">
        <v>491.2</v>
      </c>
      <c r="H295" s="10">
        <v>0</v>
      </c>
      <c r="I295" s="10">
        <v>30700</v>
      </c>
      <c r="J295" s="34">
        <v>1</v>
      </c>
      <c r="L295" s="11"/>
      <c r="M295" s="11"/>
      <c r="N295" s="124"/>
      <c r="O295" s="125"/>
    </row>
    <row r="296" spans="1:15">
      <c r="A296" s="15" t="s">
        <v>124</v>
      </c>
      <c r="B296" s="25" t="s">
        <v>85</v>
      </c>
      <c r="C296" s="39">
        <v>910</v>
      </c>
      <c r="D296" s="9">
        <v>41343</v>
      </c>
      <c r="E296" s="12" t="s">
        <v>45</v>
      </c>
      <c r="F296" s="12" t="s">
        <v>32</v>
      </c>
      <c r="G296" s="10">
        <v>10688.47</v>
      </c>
      <c r="H296" s="10"/>
      <c r="I296" s="10">
        <v>394408.55</v>
      </c>
      <c r="J296" s="62">
        <v>1</v>
      </c>
      <c r="L296" s="11"/>
      <c r="M296" s="11"/>
      <c r="N296" s="124"/>
      <c r="O296" s="125"/>
    </row>
    <row r="297" spans="1:15">
      <c r="A297" s="15" t="s">
        <v>124</v>
      </c>
      <c r="B297" s="25" t="s">
        <v>85</v>
      </c>
      <c r="C297" s="39">
        <v>107</v>
      </c>
      <c r="D297" s="9">
        <v>41343</v>
      </c>
      <c r="E297" s="12" t="s">
        <v>207</v>
      </c>
      <c r="F297" s="12" t="s">
        <v>32</v>
      </c>
      <c r="G297" s="10">
        <v>8962.11</v>
      </c>
      <c r="H297" s="10"/>
      <c r="I297" s="10">
        <v>372800</v>
      </c>
      <c r="J297" s="62">
        <v>1</v>
      </c>
      <c r="L297" s="11"/>
      <c r="M297" s="11"/>
      <c r="N297" s="124"/>
      <c r="O297" s="125"/>
    </row>
    <row r="298" spans="1:15">
      <c r="A298" s="15" t="s">
        <v>120</v>
      </c>
      <c r="B298" s="25" t="s">
        <v>113</v>
      </c>
      <c r="C298" s="39">
        <v>126</v>
      </c>
      <c r="D298" s="12">
        <v>41329</v>
      </c>
      <c r="E298" s="12" t="s">
        <v>207</v>
      </c>
      <c r="F298" s="12" t="s">
        <v>32</v>
      </c>
      <c r="G298" s="10">
        <v>8000</v>
      </c>
      <c r="H298" s="10">
        <v>0</v>
      </c>
      <c r="I298" s="10">
        <v>500000</v>
      </c>
      <c r="J298" s="34">
        <v>1</v>
      </c>
      <c r="L298" s="11"/>
      <c r="M298" s="11"/>
      <c r="N298" s="124"/>
      <c r="O298" s="125"/>
    </row>
    <row r="299" spans="1:15">
      <c r="A299" s="15" t="s">
        <v>120</v>
      </c>
      <c r="B299" s="25" t="s">
        <v>113</v>
      </c>
      <c r="C299" s="39">
        <v>125</v>
      </c>
      <c r="D299" s="12">
        <v>41329</v>
      </c>
      <c r="E299" s="12" t="s">
        <v>207</v>
      </c>
      <c r="F299" s="12" t="s">
        <v>32</v>
      </c>
      <c r="G299" s="10">
        <v>6243.84</v>
      </c>
      <c r="H299" s="10">
        <v>0</v>
      </c>
      <c r="I299" s="10">
        <v>390240</v>
      </c>
      <c r="J299" s="34">
        <v>1</v>
      </c>
      <c r="L299" s="11"/>
      <c r="M299" s="11"/>
      <c r="N299" s="124"/>
      <c r="O299" s="125"/>
    </row>
    <row r="300" spans="1:15">
      <c r="A300" s="15" t="s">
        <v>208</v>
      </c>
      <c r="B300" s="25" t="s">
        <v>226</v>
      </c>
      <c r="C300" s="39">
        <v>175</v>
      </c>
      <c r="D300" s="9">
        <v>41305</v>
      </c>
      <c r="E300" s="12" t="s">
        <v>37</v>
      </c>
      <c r="F300" s="12" t="s">
        <v>32</v>
      </c>
      <c r="G300" s="10">
        <v>5166.3999999999996</v>
      </c>
      <c r="H300" s="10">
        <v>1317.43</v>
      </c>
      <c r="I300" s="10">
        <v>258320</v>
      </c>
      <c r="J300" s="34">
        <v>1</v>
      </c>
      <c r="L300" s="11"/>
      <c r="M300" s="11"/>
      <c r="N300" s="124"/>
      <c r="O300" s="125"/>
    </row>
    <row r="301" spans="1:15">
      <c r="A301" s="15" t="s">
        <v>57</v>
      </c>
      <c r="B301" s="25" t="s">
        <v>88</v>
      </c>
      <c r="C301" s="39">
        <v>133</v>
      </c>
      <c r="D301" s="12">
        <v>41306</v>
      </c>
      <c r="E301" s="12" t="s">
        <v>37</v>
      </c>
      <c r="F301" s="12" t="s">
        <v>32</v>
      </c>
      <c r="G301" s="10">
        <v>4840</v>
      </c>
      <c r="H301" s="10">
        <v>0</v>
      </c>
      <c r="I301" s="10">
        <v>242000</v>
      </c>
      <c r="J301" s="34">
        <v>1</v>
      </c>
      <c r="L301" s="123" t="str">
        <f>E302</f>
        <v>FARIA</v>
      </c>
      <c r="M301" s="123" t="s">
        <v>27</v>
      </c>
      <c r="N301" s="124">
        <f>SUM(I302:I303)</f>
        <v>1330000</v>
      </c>
      <c r="O301" s="125">
        <f>SUM(J302:J303)</f>
        <v>2</v>
      </c>
    </row>
    <row r="302" spans="1:15">
      <c r="A302" s="15" t="s">
        <v>111</v>
      </c>
      <c r="B302" s="25" t="s">
        <v>227</v>
      </c>
      <c r="C302" s="39">
        <v>134</v>
      </c>
      <c r="D302" s="9">
        <v>41312</v>
      </c>
      <c r="E302" s="12" t="s">
        <v>40</v>
      </c>
      <c r="F302" s="12" t="s">
        <v>32</v>
      </c>
      <c r="G302" s="10">
        <v>13400</v>
      </c>
      <c r="H302" s="10">
        <v>0</v>
      </c>
      <c r="I302" s="10">
        <v>670000</v>
      </c>
      <c r="J302" s="34">
        <v>1</v>
      </c>
      <c r="L302" s="11"/>
      <c r="M302" s="11"/>
      <c r="N302" s="124"/>
      <c r="O302" s="125"/>
    </row>
    <row r="303" spans="1:15">
      <c r="A303" s="15" t="s">
        <v>54</v>
      </c>
      <c r="B303" s="25" t="s">
        <v>227</v>
      </c>
      <c r="C303" s="42">
        <v>113</v>
      </c>
      <c r="D303" s="9">
        <v>41334</v>
      </c>
      <c r="E303" s="12" t="s">
        <v>40</v>
      </c>
      <c r="F303" s="12" t="s">
        <v>32</v>
      </c>
      <c r="G303" s="10">
        <f>I303*2%</f>
        <v>13200</v>
      </c>
      <c r="H303" s="10"/>
      <c r="I303" s="10">
        <v>660000</v>
      </c>
      <c r="J303" s="34">
        <v>1</v>
      </c>
      <c r="L303" s="11" t="str">
        <f>E304</f>
        <v>MAURICIO</v>
      </c>
      <c r="M303" s="11" t="s">
        <v>26</v>
      </c>
      <c r="N303" s="124">
        <f>I304</f>
        <v>606000</v>
      </c>
      <c r="O303" s="125">
        <f>J304</f>
        <v>1</v>
      </c>
    </row>
    <row r="304" spans="1:15">
      <c r="A304" s="15" t="s">
        <v>120</v>
      </c>
      <c r="B304" s="25" t="s">
        <v>113</v>
      </c>
      <c r="C304" s="39">
        <v>73</v>
      </c>
      <c r="D304" s="9">
        <v>41313</v>
      </c>
      <c r="E304" s="12" t="s">
        <v>43</v>
      </c>
      <c r="F304" s="12" t="s">
        <v>32</v>
      </c>
      <c r="G304" s="10">
        <v>9696</v>
      </c>
      <c r="H304" s="10">
        <v>0</v>
      </c>
      <c r="I304" s="10">
        <v>606000</v>
      </c>
      <c r="J304" s="34">
        <v>1</v>
      </c>
      <c r="L304" s="123" t="str">
        <f>E305</f>
        <v>MAURICIO</v>
      </c>
      <c r="M304" s="123" t="s">
        <v>26</v>
      </c>
      <c r="N304" s="124">
        <f>SUM(I305:I307)</f>
        <v>729691</v>
      </c>
      <c r="O304" s="125">
        <f>SUM(J305:J307)</f>
        <v>2.5</v>
      </c>
    </row>
    <row r="305" spans="1:15">
      <c r="A305" s="15" t="s">
        <v>120</v>
      </c>
      <c r="B305" s="25" t="s">
        <v>201</v>
      </c>
      <c r="C305" s="42" t="s">
        <v>243</v>
      </c>
      <c r="D305" s="9">
        <v>41333</v>
      </c>
      <c r="E305" s="12" t="s">
        <v>43</v>
      </c>
      <c r="F305" s="12" t="s">
        <v>32</v>
      </c>
      <c r="G305" s="10">
        <v>510.26</v>
      </c>
      <c r="H305" s="10">
        <v>0</v>
      </c>
      <c r="I305" s="10">
        <v>31891</v>
      </c>
      <c r="J305" s="34">
        <v>1</v>
      </c>
      <c r="L305" s="11"/>
      <c r="M305" s="11"/>
      <c r="N305" s="124"/>
      <c r="O305" s="125"/>
    </row>
    <row r="306" spans="1:15">
      <c r="A306" s="15" t="s">
        <v>120</v>
      </c>
      <c r="B306" s="25" t="s">
        <v>85</v>
      </c>
      <c r="C306" s="42">
        <v>35</v>
      </c>
      <c r="D306" s="9">
        <v>41333</v>
      </c>
      <c r="E306" s="12" t="s">
        <v>43</v>
      </c>
      <c r="F306" s="12" t="s">
        <v>32</v>
      </c>
      <c r="G306" s="10">
        <f>I306*1.6%</f>
        <v>7571.2</v>
      </c>
      <c r="H306" s="10">
        <f>7571.2-G306</f>
        <v>0</v>
      </c>
      <c r="I306" s="10">
        <v>473200</v>
      </c>
      <c r="J306" s="34">
        <v>1</v>
      </c>
      <c r="L306" s="11"/>
      <c r="M306" s="11"/>
      <c r="N306" s="124"/>
      <c r="O306" s="125"/>
    </row>
    <row r="307" spans="1:15">
      <c r="A307" s="15" t="s">
        <v>124</v>
      </c>
      <c r="B307" s="25" t="s">
        <v>85</v>
      </c>
      <c r="C307" s="39">
        <v>905</v>
      </c>
      <c r="D307" s="9">
        <v>41343</v>
      </c>
      <c r="E307" s="12" t="s">
        <v>197</v>
      </c>
      <c r="F307" s="12" t="s">
        <v>32</v>
      </c>
      <c r="G307" s="10">
        <v>6086.66</v>
      </c>
      <c r="H307" s="10"/>
      <c r="I307" s="10">
        <v>224600</v>
      </c>
      <c r="J307" s="62">
        <v>0.5</v>
      </c>
      <c r="L307" s="123" t="str">
        <f>E308</f>
        <v>TONY</v>
      </c>
      <c r="M307" s="123" t="s">
        <v>79</v>
      </c>
      <c r="N307" s="124">
        <f>SUM(I308:I309)</f>
        <v>890200</v>
      </c>
      <c r="O307" s="125">
        <f>SUM(J308:J309)</f>
        <v>2</v>
      </c>
    </row>
    <row r="308" spans="1:15">
      <c r="A308" s="15" t="s">
        <v>120</v>
      </c>
      <c r="B308" s="25" t="s">
        <v>113</v>
      </c>
      <c r="C308" s="39">
        <v>23</v>
      </c>
      <c r="D308" s="9">
        <v>41313</v>
      </c>
      <c r="E308" s="12" t="s">
        <v>44</v>
      </c>
      <c r="F308" s="12" t="s">
        <v>32</v>
      </c>
      <c r="G308" s="10">
        <v>10176</v>
      </c>
      <c r="H308" s="10">
        <v>0</v>
      </c>
      <c r="I308" s="10">
        <v>636000</v>
      </c>
      <c r="J308" s="34">
        <v>1</v>
      </c>
      <c r="L308" s="11"/>
      <c r="M308" s="11"/>
      <c r="N308" s="124"/>
      <c r="O308" s="125"/>
    </row>
    <row r="309" spans="1:15">
      <c r="A309" s="15" t="s">
        <v>208</v>
      </c>
      <c r="B309" s="25" t="s">
        <v>88</v>
      </c>
      <c r="C309" s="42">
        <v>198</v>
      </c>
      <c r="D309" s="9">
        <v>41383</v>
      </c>
      <c r="E309" s="12" t="s">
        <v>212</v>
      </c>
      <c r="F309" s="12" t="s">
        <v>23</v>
      </c>
      <c r="G309" s="10">
        <v>8134.4</v>
      </c>
      <c r="H309" s="10"/>
      <c r="I309" s="10">
        <v>254200</v>
      </c>
      <c r="J309" s="62">
        <v>1</v>
      </c>
      <c r="L309" s="123" t="str">
        <f>E310</f>
        <v>AMARILIS</v>
      </c>
      <c r="M309" s="123" t="s">
        <v>26</v>
      </c>
      <c r="N309" s="124">
        <f>SUM(I310:I318)</f>
        <v>3421988.36</v>
      </c>
      <c r="O309" s="125">
        <f>SUM(J310:J318)</f>
        <v>8.5</v>
      </c>
    </row>
    <row r="310" spans="1:15">
      <c r="A310" s="15" t="s">
        <v>145</v>
      </c>
      <c r="B310" s="25" t="s">
        <v>85</v>
      </c>
      <c r="C310" s="42">
        <v>1214</v>
      </c>
      <c r="D310" s="9">
        <v>41414</v>
      </c>
      <c r="E310" s="12" t="s">
        <v>121</v>
      </c>
      <c r="F310" s="12" t="s">
        <v>23</v>
      </c>
      <c r="G310" s="10">
        <v>0</v>
      </c>
      <c r="H310" s="10">
        <v>0</v>
      </c>
      <c r="I310" s="10">
        <v>320425</v>
      </c>
      <c r="J310" s="62">
        <v>1</v>
      </c>
      <c r="L310" s="11"/>
      <c r="M310" s="11"/>
      <c r="N310" s="124"/>
      <c r="O310" s="125"/>
    </row>
    <row r="311" spans="1:15">
      <c r="A311" s="15" t="s">
        <v>120</v>
      </c>
      <c r="B311" s="25" t="s">
        <v>113</v>
      </c>
      <c r="C311" s="39">
        <v>132</v>
      </c>
      <c r="D311" s="12">
        <v>41329</v>
      </c>
      <c r="E311" s="12" t="s">
        <v>49</v>
      </c>
      <c r="F311" s="12" t="s">
        <v>23</v>
      </c>
      <c r="G311" s="10">
        <f>I311*0.8%</f>
        <v>2646.5345600000001</v>
      </c>
      <c r="H311" s="10">
        <f>8965.14-G311</f>
        <v>6318.6054399999994</v>
      </c>
      <c r="I311" s="10">
        <v>330816.82</v>
      </c>
      <c r="J311" s="34">
        <v>0.5</v>
      </c>
      <c r="L311" s="11"/>
      <c r="M311" s="11"/>
      <c r="N311" s="124"/>
      <c r="O311" s="125"/>
    </row>
    <row r="312" spans="1:15">
      <c r="A312" s="15" t="s">
        <v>124</v>
      </c>
      <c r="B312" s="25" t="s">
        <v>85</v>
      </c>
      <c r="C312" s="39">
        <v>1101</v>
      </c>
      <c r="D312" s="9">
        <v>41343</v>
      </c>
      <c r="E312" s="12" t="s">
        <v>49</v>
      </c>
      <c r="F312" s="12" t="s">
        <v>23</v>
      </c>
      <c r="G312" s="10">
        <v>12412.08</v>
      </c>
      <c r="H312" s="10"/>
      <c r="I312" s="10">
        <v>458010.29</v>
      </c>
      <c r="J312" s="62">
        <v>1</v>
      </c>
      <c r="L312" s="11"/>
      <c r="M312" s="11"/>
      <c r="N312" s="124"/>
      <c r="O312" s="125"/>
    </row>
    <row r="313" spans="1:15">
      <c r="A313" s="15" t="s">
        <v>124</v>
      </c>
      <c r="B313" s="25" t="s">
        <v>85</v>
      </c>
      <c r="C313" s="39">
        <v>1112</v>
      </c>
      <c r="D313" s="9">
        <v>41343</v>
      </c>
      <c r="E313" s="12" t="s">
        <v>49</v>
      </c>
      <c r="F313" s="12" t="s">
        <v>23</v>
      </c>
      <c r="G313" s="10">
        <v>12412.08</v>
      </c>
      <c r="H313" s="10"/>
      <c r="I313" s="10">
        <v>458010.29</v>
      </c>
      <c r="J313" s="62">
        <v>1</v>
      </c>
      <c r="L313" s="11"/>
      <c r="M313" s="11"/>
      <c r="N313" s="124"/>
      <c r="O313" s="125"/>
    </row>
    <row r="314" spans="1:15">
      <c r="A314" s="15" t="s">
        <v>145</v>
      </c>
      <c r="B314" s="25" t="s">
        <v>85</v>
      </c>
      <c r="C314" s="39">
        <v>301</v>
      </c>
      <c r="D314" s="9">
        <v>41414</v>
      </c>
      <c r="E314" s="12" t="s">
        <v>49</v>
      </c>
      <c r="F314" s="12" t="s">
        <v>23</v>
      </c>
      <c r="G314" s="10">
        <v>5743.28</v>
      </c>
      <c r="H314" s="10">
        <v>3984.4</v>
      </c>
      <c r="I314" s="10">
        <v>358955.19</v>
      </c>
      <c r="J314" s="34">
        <v>1</v>
      </c>
      <c r="L314" s="11"/>
      <c r="M314" s="11"/>
      <c r="N314" s="124"/>
      <c r="O314" s="125"/>
    </row>
    <row r="315" spans="1:15">
      <c r="A315" s="15" t="s">
        <v>145</v>
      </c>
      <c r="B315" s="25" t="s">
        <v>85</v>
      </c>
      <c r="C315" s="39">
        <v>302</v>
      </c>
      <c r="D315" s="9">
        <v>41414</v>
      </c>
      <c r="E315" s="12" t="s">
        <v>49</v>
      </c>
      <c r="F315" s="12" t="s">
        <v>23</v>
      </c>
      <c r="G315" s="10">
        <v>5615.2</v>
      </c>
      <c r="H315" s="10">
        <v>3895.55</v>
      </c>
      <c r="I315" s="10">
        <v>350950.07</v>
      </c>
      <c r="J315" s="34">
        <v>1</v>
      </c>
      <c r="L315" s="11"/>
      <c r="M315" s="11"/>
      <c r="N315" s="124"/>
      <c r="O315" s="125"/>
    </row>
    <row r="316" spans="1:15">
      <c r="A316" s="15" t="s">
        <v>145</v>
      </c>
      <c r="B316" s="25" t="s">
        <v>85</v>
      </c>
      <c r="C316" s="39">
        <v>303</v>
      </c>
      <c r="D316" s="9">
        <v>41414</v>
      </c>
      <c r="E316" s="12" t="s">
        <v>49</v>
      </c>
      <c r="F316" s="12" t="s">
        <v>23</v>
      </c>
      <c r="G316" s="10">
        <v>5615.2</v>
      </c>
      <c r="H316" s="10">
        <v>3895.55</v>
      </c>
      <c r="I316" s="10">
        <v>350950.07</v>
      </c>
      <c r="J316" s="34">
        <v>1</v>
      </c>
      <c r="L316" s="11"/>
      <c r="M316" s="11"/>
      <c r="N316" s="124"/>
      <c r="O316" s="125"/>
    </row>
    <row r="317" spans="1:15">
      <c r="A317" s="15" t="s">
        <v>145</v>
      </c>
      <c r="B317" s="25" t="s">
        <v>85</v>
      </c>
      <c r="C317" s="39">
        <v>2402</v>
      </c>
      <c r="D317" s="9">
        <v>41413</v>
      </c>
      <c r="E317" s="12" t="s">
        <v>49</v>
      </c>
      <c r="F317" s="12" t="s">
        <v>23</v>
      </c>
      <c r="G317" s="10">
        <v>6152.49</v>
      </c>
      <c r="H317" s="10">
        <v>4268.29</v>
      </c>
      <c r="I317" s="10">
        <v>384530.4</v>
      </c>
      <c r="J317" s="34">
        <v>1</v>
      </c>
      <c r="L317" s="11"/>
      <c r="M317" s="11"/>
      <c r="N317" s="124"/>
      <c r="O317" s="125"/>
    </row>
    <row r="318" spans="1:15">
      <c r="A318" s="15" t="s">
        <v>145</v>
      </c>
      <c r="B318" s="25" t="s">
        <v>82</v>
      </c>
      <c r="C318" s="39">
        <v>2107</v>
      </c>
      <c r="D318" s="9">
        <v>41449</v>
      </c>
      <c r="E318" s="12" t="s">
        <v>49</v>
      </c>
      <c r="F318" s="12" t="s">
        <v>23</v>
      </c>
      <c r="G318" s="10">
        <v>6549.44</v>
      </c>
      <c r="H318" s="10">
        <v>4543.68</v>
      </c>
      <c r="I318" s="10">
        <v>409340.23</v>
      </c>
      <c r="J318" s="62">
        <v>1</v>
      </c>
      <c r="L318" s="123" t="str">
        <f>E319</f>
        <v>CLAUDIA</v>
      </c>
      <c r="M318" s="123" t="s">
        <v>24</v>
      </c>
      <c r="N318" s="124">
        <f>SUM(I319:I321)</f>
        <v>1183239.07</v>
      </c>
      <c r="O318" s="125">
        <f>SUM(J319:J321)</f>
        <v>3</v>
      </c>
    </row>
    <row r="319" spans="1:15">
      <c r="A319" s="15" t="s">
        <v>145</v>
      </c>
      <c r="B319" s="25" t="s">
        <v>82</v>
      </c>
      <c r="C319" s="39">
        <v>1907</v>
      </c>
      <c r="D319" s="9">
        <v>41449</v>
      </c>
      <c r="E319" s="12" t="s">
        <v>49</v>
      </c>
      <c r="F319" s="12" t="s">
        <v>23</v>
      </c>
      <c r="G319" s="10">
        <v>6476.13</v>
      </c>
      <c r="H319" s="10">
        <v>4492.82</v>
      </c>
      <c r="I319" s="10">
        <v>404758.25</v>
      </c>
      <c r="J319" s="62">
        <v>1</v>
      </c>
      <c r="L319" s="11"/>
      <c r="M319" s="11"/>
      <c r="N319" s="124"/>
      <c r="O319" s="125"/>
    </row>
    <row r="320" spans="1:15">
      <c r="A320" s="15" t="s">
        <v>124</v>
      </c>
      <c r="B320" s="25" t="s">
        <v>85</v>
      </c>
      <c r="C320" s="39">
        <v>303</v>
      </c>
      <c r="D320" s="9">
        <v>41343</v>
      </c>
      <c r="E320" s="12" t="s">
        <v>80</v>
      </c>
      <c r="F320" s="12" t="s">
        <v>23</v>
      </c>
      <c r="G320" s="10">
        <v>11488.67</v>
      </c>
      <c r="H320" s="10"/>
      <c r="I320" s="10">
        <v>423936.14</v>
      </c>
      <c r="J320" s="62">
        <v>1</v>
      </c>
      <c r="L320" s="11"/>
      <c r="M320" s="11"/>
      <c r="N320" s="124"/>
      <c r="O320" s="125"/>
    </row>
    <row r="321" spans="1:15">
      <c r="A321" s="15" t="s">
        <v>124</v>
      </c>
      <c r="B321" s="25" t="s">
        <v>85</v>
      </c>
      <c r="C321" s="39">
        <v>304</v>
      </c>
      <c r="D321" s="9">
        <v>41343</v>
      </c>
      <c r="E321" s="12" t="s">
        <v>80</v>
      </c>
      <c r="F321" s="12" t="s">
        <v>23</v>
      </c>
      <c r="G321" s="10">
        <v>9608.16</v>
      </c>
      <c r="H321" s="10"/>
      <c r="I321" s="10">
        <v>354544.68</v>
      </c>
      <c r="J321" s="62">
        <v>1</v>
      </c>
      <c r="L321" s="123" t="str">
        <f>E322</f>
        <v>EVITA</v>
      </c>
      <c r="M321" s="123" t="s">
        <v>61</v>
      </c>
      <c r="N321" s="124">
        <f>SUM(I322:I326)</f>
        <v>1364651.69</v>
      </c>
      <c r="O321" s="125">
        <f>SUM(J322:J326)</f>
        <v>3.5</v>
      </c>
    </row>
    <row r="322" spans="1:15">
      <c r="A322" s="15" t="s">
        <v>124</v>
      </c>
      <c r="B322" s="25" t="s">
        <v>85</v>
      </c>
      <c r="C322" s="39">
        <v>605</v>
      </c>
      <c r="D322" s="9">
        <v>41343</v>
      </c>
      <c r="E322" s="12" t="s">
        <v>80</v>
      </c>
      <c r="F322" s="12" t="s">
        <v>23</v>
      </c>
      <c r="G322" s="10">
        <v>11146.75</v>
      </c>
      <c r="H322" s="10"/>
      <c r="I322" s="10">
        <v>411319.35</v>
      </c>
      <c r="J322" s="62">
        <v>1</v>
      </c>
      <c r="L322" s="11"/>
      <c r="M322" s="11"/>
      <c r="N322" s="124"/>
      <c r="O322" s="125"/>
    </row>
    <row r="323" spans="1:15">
      <c r="A323" s="15" t="s">
        <v>145</v>
      </c>
      <c r="B323" s="25" t="s">
        <v>85</v>
      </c>
      <c r="C323" s="39">
        <v>514</v>
      </c>
      <c r="D323" s="9">
        <v>41406</v>
      </c>
      <c r="E323" s="12" t="s">
        <v>80</v>
      </c>
      <c r="F323" s="12" t="s">
        <v>23</v>
      </c>
      <c r="G323" s="10">
        <v>5795.67</v>
      </c>
      <c r="H323" s="10">
        <v>4020.75</v>
      </c>
      <c r="I323" s="10">
        <v>362229.56</v>
      </c>
      <c r="J323" s="62">
        <v>1</v>
      </c>
      <c r="L323" s="11"/>
      <c r="M323" s="11"/>
      <c r="N323" s="124"/>
      <c r="O323" s="125"/>
    </row>
    <row r="324" spans="1:15">
      <c r="A324" s="15" t="s">
        <v>145</v>
      </c>
      <c r="B324" s="25" t="s">
        <v>85</v>
      </c>
      <c r="C324" s="39">
        <v>1810</v>
      </c>
      <c r="D324" s="9">
        <v>41411</v>
      </c>
      <c r="E324" s="12" t="s">
        <v>80</v>
      </c>
      <c r="F324" s="12" t="s">
        <v>23</v>
      </c>
      <c r="G324" s="10">
        <v>3123.8</v>
      </c>
      <c r="H324" s="10">
        <v>2167.13</v>
      </c>
      <c r="I324" s="10">
        <v>195237.34</v>
      </c>
      <c r="J324" s="62">
        <v>0.5</v>
      </c>
      <c r="L324" s="11"/>
      <c r="M324" s="11"/>
      <c r="N324" s="124"/>
      <c r="O324" s="125"/>
    </row>
    <row r="325" spans="1:15">
      <c r="A325" s="15" t="s">
        <v>145</v>
      </c>
      <c r="B325" s="25" t="s">
        <v>85</v>
      </c>
      <c r="C325" s="39">
        <v>2310</v>
      </c>
      <c r="D325" s="12">
        <v>41411</v>
      </c>
      <c r="E325" s="12" t="s">
        <v>80</v>
      </c>
      <c r="F325" s="12" t="s">
        <v>23</v>
      </c>
      <c r="G325" s="10">
        <v>3166.93</v>
      </c>
      <c r="H325" s="10">
        <v>2197.06</v>
      </c>
      <c r="I325" s="10">
        <v>197932.72</v>
      </c>
      <c r="J325" s="34">
        <v>0.5</v>
      </c>
      <c r="L325" s="11"/>
      <c r="M325" s="11"/>
      <c r="N325" s="124"/>
      <c r="O325" s="125"/>
    </row>
    <row r="326" spans="1:15">
      <c r="A326" s="15" t="s">
        <v>145</v>
      </c>
      <c r="B326" s="25" t="s">
        <v>85</v>
      </c>
      <c r="C326" s="39">
        <v>2311</v>
      </c>
      <c r="D326" s="12">
        <v>41411</v>
      </c>
      <c r="E326" s="12" t="s">
        <v>80</v>
      </c>
      <c r="F326" s="12" t="s">
        <v>23</v>
      </c>
      <c r="G326" s="10">
        <v>3166.93</v>
      </c>
      <c r="H326" s="10">
        <v>2197.06</v>
      </c>
      <c r="I326" s="10">
        <v>197932.72</v>
      </c>
      <c r="J326" s="34">
        <v>0.5</v>
      </c>
      <c r="L326" s="123" t="str">
        <f>E327</f>
        <v>FERNANDA</v>
      </c>
      <c r="M326" s="123" t="s">
        <v>26</v>
      </c>
      <c r="N326" s="124">
        <f>I327</f>
        <v>145000</v>
      </c>
      <c r="O326" s="125">
        <f>J327</f>
        <v>0.5</v>
      </c>
    </row>
    <row r="327" spans="1:15">
      <c r="A327" s="15" t="s">
        <v>145</v>
      </c>
      <c r="B327" s="25" t="s">
        <v>85</v>
      </c>
      <c r="C327" s="42">
        <v>311</v>
      </c>
      <c r="D327" s="9">
        <v>41417</v>
      </c>
      <c r="E327" s="12" t="s">
        <v>193</v>
      </c>
      <c r="F327" s="12" t="s">
        <v>23</v>
      </c>
      <c r="G327" s="10">
        <v>3199.8</v>
      </c>
      <c r="H327" s="10">
        <v>2219.86</v>
      </c>
      <c r="I327" s="10">
        <v>145000</v>
      </c>
      <c r="J327" s="62">
        <v>0.5</v>
      </c>
      <c r="L327" s="123" t="str">
        <f>E328</f>
        <v>FLAVIO</v>
      </c>
      <c r="M327" s="123" t="s">
        <v>24</v>
      </c>
      <c r="N327" s="124">
        <f>SUM(I328:I329)</f>
        <v>523977.35</v>
      </c>
      <c r="O327" s="125">
        <f>SUM(J328:J329)</f>
        <v>2</v>
      </c>
    </row>
    <row r="328" spans="1:15">
      <c r="A328" s="15" t="s">
        <v>270</v>
      </c>
      <c r="B328" s="25" t="s">
        <v>271</v>
      </c>
      <c r="C328" s="39">
        <v>7</v>
      </c>
      <c r="D328" s="9">
        <v>41451</v>
      </c>
      <c r="E328" s="12" t="s">
        <v>292</v>
      </c>
      <c r="F328" s="12" t="s">
        <v>23</v>
      </c>
      <c r="G328" s="10">
        <v>7902.46</v>
      </c>
      <c r="H328" s="10">
        <v>4000.62</v>
      </c>
      <c r="I328" s="10">
        <v>493903.91</v>
      </c>
      <c r="J328" s="62">
        <v>1</v>
      </c>
      <c r="L328" s="11"/>
      <c r="M328" s="11"/>
      <c r="N328" s="124"/>
      <c r="O328" s="125"/>
    </row>
    <row r="329" spans="1:15">
      <c r="A329" s="15" t="s">
        <v>270</v>
      </c>
      <c r="B329" s="25" t="s">
        <v>201</v>
      </c>
      <c r="C329" s="42" t="s">
        <v>293</v>
      </c>
      <c r="D329" s="9">
        <v>41451</v>
      </c>
      <c r="E329" s="12" t="s">
        <v>292</v>
      </c>
      <c r="F329" s="12" t="s">
        <v>23</v>
      </c>
      <c r="G329" s="10">
        <v>481.18</v>
      </c>
      <c r="H329" s="10">
        <v>0</v>
      </c>
      <c r="I329" s="10">
        <v>30073.439999999999</v>
      </c>
      <c r="J329" s="62">
        <v>1</v>
      </c>
      <c r="L329" s="123" t="str">
        <f>E330</f>
        <v>FLAVIO</v>
      </c>
      <c r="M329" s="123" t="s">
        <v>23</v>
      </c>
      <c r="N329" s="124">
        <f>SUM(I330:I341)</f>
        <v>3392037.64</v>
      </c>
      <c r="O329" s="125">
        <f>SUM(J330:J341)</f>
        <v>7</v>
      </c>
    </row>
    <row r="330" spans="1:15">
      <c r="A330" s="15" t="s">
        <v>270</v>
      </c>
      <c r="B330" s="25" t="s">
        <v>201</v>
      </c>
      <c r="C330" s="42" t="s">
        <v>294</v>
      </c>
      <c r="D330" s="9">
        <v>41451</v>
      </c>
      <c r="E330" s="12" t="s">
        <v>292</v>
      </c>
      <c r="F330" s="12" t="s">
        <v>23</v>
      </c>
      <c r="G330" s="10">
        <v>216.94</v>
      </c>
      <c r="H330" s="10">
        <v>0</v>
      </c>
      <c r="I330" s="10">
        <v>13558.87</v>
      </c>
      <c r="J330" s="62">
        <v>0.5</v>
      </c>
      <c r="L330" s="11"/>
      <c r="M330" s="11"/>
      <c r="N330" s="124"/>
      <c r="O330" s="125"/>
    </row>
    <row r="331" spans="1:15">
      <c r="A331" s="15" t="s">
        <v>270</v>
      </c>
      <c r="B331" s="25" t="s">
        <v>273</v>
      </c>
      <c r="C331" s="39">
        <v>37</v>
      </c>
      <c r="D331" s="9">
        <v>41451</v>
      </c>
      <c r="E331" s="12" t="s">
        <v>292</v>
      </c>
      <c r="F331" s="12" t="s">
        <v>23</v>
      </c>
      <c r="G331" s="10">
        <v>3716.23</v>
      </c>
      <c r="H331" s="10">
        <v>1881.34</v>
      </c>
      <c r="I331" s="10">
        <v>232264.44</v>
      </c>
      <c r="J331" s="62">
        <v>0.5</v>
      </c>
      <c r="L331" s="11"/>
      <c r="M331" s="11"/>
      <c r="N331" s="124"/>
      <c r="O331" s="125"/>
    </row>
    <row r="332" spans="1:15">
      <c r="A332" s="15" t="s">
        <v>270</v>
      </c>
      <c r="B332" s="25" t="s">
        <v>271</v>
      </c>
      <c r="C332" s="39">
        <v>34</v>
      </c>
      <c r="D332" s="9">
        <v>41455</v>
      </c>
      <c r="E332" s="12" t="s">
        <v>292</v>
      </c>
      <c r="F332" s="12" t="s">
        <v>23</v>
      </c>
      <c r="G332" s="10">
        <v>3166.44</v>
      </c>
      <c r="H332" s="10">
        <v>1603.01</v>
      </c>
      <c r="I332" s="10">
        <v>197902.58</v>
      </c>
      <c r="J332" s="62">
        <v>0.5</v>
      </c>
      <c r="L332" s="11"/>
      <c r="M332" s="11"/>
      <c r="N332" s="124"/>
      <c r="O332" s="125"/>
    </row>
    <row r="333" spans="1:15">
      <c r="A333" s="15" t="s">
        <v>53</v>
      </c>
      <c r="B333" s="25" t="s">
        <v>113</v>
      </c>
      <c r="C333" s="39">
        <v>72</v>
      </c>
      <c r="D333" s="12">
        <v>41303</v>
      </c>
      <c r="E333" s="12" t="s">
        <v>296</v>
      </c>
      <c r="F333" s="12" t="s">
        <v>23</v>
      </c>
      <c r="G333" s="10">
        <v>9792</v>
      </c>
      <c r="H333" s="10">
        <v>0</v>
      </c>
      <c r="I333" s="10">
        <v>612000</v>
      </c>
      <c r="J333" s="34">
        <v>1</v>
      </c>
      <c r="L333" s="11"/>
      <c r="M333" s="11"/>
      <c r="N333" s="124"/>
      <c r="O333" s="125"/>
    </row>
    <row r="334" spans="1:15">
      <c r="A334" s="15" t="s">
        <v>270</v>
      </c>
      <c r="B334" s="25" t="s">
        <v>271</v>
      </c>
      <c r="C334" s="39">
        <v>34</v>
      </c>
      <c r="D334" s="9">
        <v>41455</v>
      </c>
      <c r="E334" s="12" t="s">
        <v>296</v>
      </c>
      <c r="F334" s="12" t="s">
        <v>23</v>
      </c>
      <c r="G334" s="10">
        <v>3166.44</v>
      </c>
      <c r="H334" s="10">
        <v>1603.01</v>
      </c>
      <c r="I334" s="10">
        <v>197902.58</v>
      </c>
      <c r="J334" s="62">
        <v>0.5</v>
      </c>
      <c r="L334" s="11"/>
      <c r="M334" s="11"/>
      <c r="N334" s="124"/>
      <c r="O334" s="125"/>
    </row>
    <row r="335" spans="1:15">
      <c r="A335" s="15" t="s">
        <v>145</v>
      </c>
      <c r="B335" s="25" t="s">
        <v>85</v>
      </c>
      <c r="C335" s="39">
        <v>2310</v>
      </c>
      <c r="D335" s="12">
        <v>41411</v>
      </c>
      <c r="E335" s="12" t="s">
        <v>296</v>
      </c>
      <c r="F335" s="12" t="s">
        <v>23</v>
      </c>
      <c r="G335" s="10">
        <v>3166.93</v>
      </c>
      <c r="H335" s="10">
        <v>2197.06</v>
      </c>
      <c r="I335" s="10">
        <v>197932.72</v>
      </c>
      <c r="J335" s="34">
        <v>0.5</v>
      </c>
      <c r="L335" s="11"/>
      <c r="M335" s="11"/>
      <c r="N335" s="124"/>
      <c r="O335" s="125"/>
    </row>
    <row r="336" spans="1:15">
      <c r="A336" s="15" t="s">
        <v>145</v>
      </c>
      <c r="B336" s="25" t="s">
        <v>85</v>
      </c>
      <c r="C336" s="39">
        <v>2311</v>
      </c>
      <c r="D336" s="12">
        <v>41411</v>
      </c>
      <c r="E336" s="12" t="s">
        <v>296</v>
      </c>
      <c r="F336" s="12" t="s">
        <v>23</v>
      </c>
      <c r="G336" s="10">
        <v>3166.93</v>
      </c>
      <c r="H336" s="10">
        <v>2197.06</v>
      </c>
      <c r="I336" s="10">
        <v>197932.72</v>
      </c>
      <c r="J336" s="34">
        <v>0.5</v>
      </c>
      <c r="L336" s="11"/>
      <c r="M336" s="11"/>
      <c r="N336" s="124"/>
      <c r="O336" s="125"/>
    </row>
    <row r="337" spans="1:15">
      <c r="A337" s="15" t="s">
        <v>145</v>
      </c>
      <c r="B337" s="25" t="s">
        <v>85</v>
      </c>
      <c r="C337" s="39">
        <v>2316</v>
      </c>
      <c r="D337" s="9">
        <v>41408</v>
      </c>
      <c r="E337" s="12" t="s">
        <v>296</v>
      </c>
      <c r="F337" s="12" t="s">
        <v>23</v>
      </c>
      <c r="G337" s="10">
        <v>3108.9</v>
      </c>
      <c r="H337" s="10">
        <v>2156.8000000000002</v>
      </c>
      <c r="I337" s="10">
        <v>194306.47</v>
      </c>
      <c r="J337" s="34">
        <v>0.5</v>
      </c>
      <c r="L337" s="11"/>
      <c r="M337" s="11"/>
      <c r="N337" s="124"/>
      <c r="O337" s="125"/>
    </row>
    <row r="338" spans="1:15">
      <c r="A338" s="15" t="s">
        <v>53</v>
      </c>
      <c r="B338" s="25" t="s">
        <v>113</v>
      </c>
      <c r="C338" s="42">
        <v>177</v>
      </c>
      <c r="D338" s="9">
        <v>41281</v>
      </c>
      <c r="E338" s="12" t="s">
        <v>21</v>
      </c>
      <c r="F338" s="12" t="s">
        <v>23</v>
      </c>
      <c r="G338" s="10">
        <v>7248</v>
      </c>
      <c r="H338" s="10">
        <f>12276.3-G338</f>
        <v>5028.2999999999993</v>
      </c>
      <c r="I338" s="10">
        <v>453000.06</v>
      </c>
      <c r="J338" s="34">
        <v>0.5</v>
      </c>
      <c r="L338" s="11"/>
      <c r="M338" s="11"/>
      <c r="N338" s="124"/>
      <c r="O338" s="125"/>
    </row>
    <row r="339" spans="1:15">
      <c r="A339" s="102" t="s">
        <v>186</v>
      </c>
      <c r="B339" s="25" t="s">
        <v>85</v>
      </c>
      <c r="C339" s="39">
        <v>702</v>
      </c>
      <c r="D339" s="12">
        <v>41340</v>
      </c>
      <c r="E339" s="12" t="s">
        <v>306</v>
      </c>
      <c r="F339" s="12" t="s">
        <v>23</v>
      </c>
      <c r="G339" s="10">
        <v>5830.87</v>
      </c>
      <c r="H339" s="10">
        <v>0</v>
      </c>
      <c r="I339" s="10">
        <v>224264.27</v>
      </c>
      <c r="J339" s="34">
        <v>0.5</v>
      </c>
      <c r="L339" s="11"/>
      <c r="M339" s="11"/>
      <c r="N339" s="124"/>
      <c r="O339" s="125"/>
    </row>
    <row r="340" spans="1:15">
      <c r="A340" s="102" t="s">
        <v>186</v>
      </c>
      <c r="B340" s="25" t="s">
        <v>85</v>
      </c>
      <c r="C340" s="39">
        <v>703</v>
      </c>
      <c r="D340" s="12">
        <v>41340</v>
      </c>
      <c r="E340" s="12" t="s">
        <v>306</v>
      </c>
      <c r="F340" s="12" t="s">
        <v>23</v>
      </c>
      <c r="G340" s="10">
        <v>5835.53</v>
      </c>
      <c r="H340" s="10">
        <v>0</v>
      </c>
      <c r="I340" s="10">
        <v>224443.27</v>
      </c>
      <c r="J340" s="34">
        <v>0.5</v>
      </c>
      <c r="L340" s="11"/>
      <c r="M340" s="11"/>
      <c r="N340" s="124"/>
      <c r="O340" s="125"/>
    </row>
    <row r="341" spans="1:15">
      <c r="A341" s="15" t="s">
        <v>270</v>
      </c>
      <c r="B341" s="25" t="s">
        <v>278</v>
      </c>
      <c r="C341" s="39">
        <v>74</v>
      </c>
      <c r="D341" s="9">
        <v>41450</v>
      </c>
      <c r="E341" s="12" t="s">
        <v>297</v>
      </c>
      <c r="F341" s="12" t="s">
        <v>23</v>
      </c>
      <c r="G341" s="10">
        <v>10344.469999999999</v>
      </c>
      <c r="H341" s="10">
        <v>5236.8900000000003</v>
      </c>
      <c r="I341" s="10">
        <v>646529.66</v>
      </c>
      <c r="J341" s="34">
        <v>1</v>
      </c>
      <c r="L341" s="123" t="str">
        <f>E342</f>
        <v>JADE</v>
      </c>
      <c r="M341" s="123" t="s">
        <v>79</v>
      </c>
      <c r="N341" s="124">
        <f>I342</f>
        <v>179138.76</v>
      </c>
      <c r="O341" s="125">
        <f>J342</f>
        <v>0.5</v>
      </c>
    </row>
    <row r="342" spans="1:15">
      <c r="A342" s="15" t="s">
        <v>145</v>
      </c>
      <c r="B342" s="25" t="s">
        <v>85</v>
      </c>
      <c r="C342" s="39">
        <v>1015</v>
      </c>
      <c r="D342" s="9">
        <v>41413</v>
      </c>
      <c r="E342" s="12" t="s">
        <v>159</v>
      </c>
      <c r="F342" s="12" t="s">
        <v>23</v>
      </c>
      <c r="G342" s="10">
        <v>2866.22</v>
      </c>
      <c r="H342" s="10">
        <v>1988.44</v>
      </c>
      <c r="I342" s="10">
        <v>179138.76</v>
      </c>
      <c r="J342" s="62">
        <v>0.5</v>
      </c>
      <c r="L342" s="123" t="str">
        <f>E343</f>
        <v>JADE</v>
      </c>
      <c r="M342" s="123" t="s">
        <v>25</v>
      </c>
      <c r="N342" s="124">
        <f>SUM(I343:I349)</f>
        <v>2151370.65</v>
      </c>
      <c r="O342" s="125">
        <f>SUM(J343:J349)</f>
        <v>5.5</v>
      </c>
    </row>
    <row r="343" spans="1:15">
      <c r="A343" s="15" t="s">
        <v>145</v>
      </c>
      <c r="B343" s="25" t="s">
        <v>85</v>
      </c>
      <c r="C343" s="39">
        <v>1111</v>
      </c>
      <c r="D343" s="9">
        <v>41413</v>
      </c>
      <c r="E343" s="12" t="s">
        <v>159</v>
      </c>
      <c r="F343" s="12" t="s">
        <v>23</v>
      </c>
      <c r="G343" s="10">
        <v>3025.3</v>
      </c>
      <c r="H343" s="10">
        <v>2098.8000000000002</v>
      </c>
      <c r="I343" s="10">
        <v>189081</v>
      </c>
      <c r="J343" s="62">
        <v>0.5</v>
      </c>
      <c r="L343" s="11"/>
      <c r="M343" s="11"/>
      <c r="N343" s="124"/>
      <c r="O343" s="125"/>
    </row>
    <row r="344" spans="1:15">
      <c r="A344" s="15" t="s">
        <v>145</v>
      </c>
      <c r="B344" s="25" t="s">
        <v>85</v>
      </c>
      <c r="C344" s="39">
        <v>1314</v>
      </c>
      <c r="D344" s="9">
        <v>41413</v>
      </c>
      <c r="E344" s="12" t="s">
        <v>159</v>
      </c>
      <c r="F344" s="12" t="s">
        <v>23</v>
      </c>
      <c r="G344" s="10">
        <v>2910.13</v>
      </c>
      <c r="H344" s="10">
        <v>2018.9</v>
      </c>
      <c r="I344" s="10">
        <v>181883.01</v>
      </c>
      <c r="J344" s="62">
        <v>0.5</v>
      </c>
      <c r="L344" s="11"/>
      <c r="M344" s="11"/>
      <c r="N344" s="124"/>
      <c r="O344" s="125"/>
    </row>
    <row r="345" spans="1:15">
      <c r="A345" s="15" t="s">
        <v>120</v>
      </c>
      <c r="B345" s="25" t="s">
        <v>113</v>
      </c>
      <c r="C345" s="39">
        <v>48</v>
      </c>
      <c r="D345" s="9">
        <v>41307</v>
      </c>
      <c r="E345" s="12" t="s">
        <v>38</v>
      </c>
      <c r="F345" s="12" t="s">
        <v>23</v>
      </c>
      <c r="G345" s="10">
        <v>7427.74</v>
      </c>
      <c r="H345" s="10">
        <v>0</v>
      </c>
      <c r="I345" s="10">
        <v>464234</v>
      </c>
      <c r="J345" s="34">
        <v>1</v>
      </c>
      <c r="L345" s="11"/>
      <c r="M345" s="11"/>
      <c r="N345" s="124"/>
      <c r="O345" s="125"/>
    </row>
    <row r="346" spans="1:15">
      <c r="A346" s="15" t="s">
        <v>120</v>
      </c>
      <c r="B346" s="25" t="s">
        <v>201</v>
      </c>
      <c r="C346" s="42" t="s">
        <v>244</v>
      </c>
      <c r="D346" s="9">
        <v>41308</v>
      </c>
      <c r="E346" s="12" t="s">
        <v>38</v>
      </c>
      <c r="F346" s="12" t="s">
        <v>23</v>
      </c>
      <c r="G346" s="10">
        <v>480</v>
      </c>
      <c r="H346" s="10">
        <v>0</v>
      </c>
      <c r="I346" s="10">
        <v>30000</v>
      </c>
      <c r="J346" s="34">
        <v>1</v>
      </c>
      <c r="L346" s="11"/>
      <c r="M346" s="11"/>
      <c r="N346" s="124"/>
      <c r="O346" s="125"/>
    </row>
    <row r="347" spans="1:15">
      <c r="A347" s="15" t="s">
        <v>120</v>
      </c>
      <c r="B347" s="25" t="s">
        <v>113</v>
      </c>
      <c r="C347" s="39">
        <v>132</v>
      </c>
      <c r="D347" s="12">
        <v>41329</v>
      </c>
      <c r="E347" s="12" t="s">
        <v>38</v>
      </c>
      <c r="F347" s="12" t="s">
        <v>23</v>
      </c>
      <c r="G347" s="10">
        <f>I347*0.8%</f>
        <v>2646.5345600000001</v>
      </c>
      <c r="H347" s="10">
        <f>8965.14-G347</f>
        <v>6318.6054399999994</v>
      </c>
      <c r="I347" s="10">
        <v>330816.82</v>
      </c>
      <c r="J347" s="34">
        <v>0.5</v>
      </c>
      <c r="L347" s="11"/>
      <c r="M347" s="11"/>
      <c r="N347" s="124"/>
      <c r="O347" s="125"/>
    </row>
    <row r="348" spans="1:15">
      <c r="A348" s="15" t="s">
        <v>145</v>
      </c>
      <c r="B348" s="25" t="s">
        <v>85</v>
      </c>
      <c r="C348" s="39">
        <v>1408</v>
      </c>
      <c r="D348" s="9">
        <v>41416</v>
      </c>
      <c r="E348" s="12" t="s">
        <v>38</v>
      </c>
      <c r="F348" s="12" t="s">
        <v>23</v>
      </c>
      <c r="G348" s="10">
        <v>7642.85</v>
      </c>
      <c r="H348" s="10">
        <v>5302.22</v>
      </c>
      <c r="I348" s="10">
        <v>477677.91</v>
      </c>
      <c r="J348" s="34">
        <v>1</v>
      </c>
      <c r="L348" s="11"/>
      <c r="M348" s="11"/>
      <c r="N348" s="124"/>
      <c r="O348" s="125"/>
    </row>
    <row r="349" spans="1:15">
      <c r="A349" s="15" t="s">
        <v>145</v>
      </c>
      <c r="B349" s="25" t="s">
        <v>85</v>
      </c>
      <c r="C349" s="39">
        <v>1409</v>
      </c>
      <c r="D349" s="9">
        <v>41413</v>
      </c>
      <c r="E349" s="12" t="s">
        <v>38</v>
      </c>
      <c r="F349" s="12" t="s">
        <v>23</v>
      </c>
      <c r="G349" s="10">
        <v>7642.85</v>
      </c>
      <c r="H349" s="10">
        <v>5302.22</v>
      </c>
      <c r="I349" s="10">
        <v>477677.91</v>
      </c>
      <c r="J349" s="34">
        <v>1</v>
      </c>
      <c r="L349" s="123"/>
      <c r="M349" s="123"/>
      <c r="N349" s="124"/>
      <c r="O349" s="125"/>
    </row>
    <row r="350" spans="1:15">
      <c r="A350" s="15" t="s">
        <v>145</v>
      </c>
      <c r="B350" s="25" t="s">
        <v>85</v>
      </c>
      <c r="C350" s="39">
        <v>1609</v>
      </c>
      <c r="D350" s="9">
        <v>41411</v>
      </c>
      <c r="E350" s="12" t="s">
        <v>38</v>
      </c>
      <c r="F350" s="12" t="s">
        <v>23</v>
      </c>
      <c r="G350" s="10">
        <v>7619.99</v>
      </c>
      <c r="H350" s="10">
        <v>5286.37</v>
      </c>
      <c r="I350" s="10">
        <v>476249.26</v>
      </c>
      <c r="J350" s="34">
        <v>1</v>
      </c>
      <c r="L350" s="123" t="str">
        <f>E351</f>
        <v xml:space="preserve">JAIME </v>
      </c>
      <c r="M350" s="123" t="s">
        <v>27</v>
      </c>
      <c r="N350" s="124">
        <f>I351</f>
        <v>656450</v>
      </c>
      <c r="O350" s="125">
        <f>J351</f>
        <v>1</v>
      </c>
    </row>
    <row r="351" spans="1:15">
      <c r="A351" s="15" t="s">
        <v>53</v>
      </c>
      <c r="B351" s="25" t="s">
        <v>82</v>
      </c>
      <c r="C351" s="42">
        <v>66</v>
      </c>
      <c r="D351" s="9">
        <v>41389</v>
      </c>
      <c r="E351" s="12" t="s">
        <v>214</v>
      </c>
      <c r="F351" s="12" t="s">
        <v>23</v>
      </c>
      <c r="G351" s="10">
        <v>10503.2</v>
      </c>
      <c r="H351" s="10"/>
      <c r="I351" s="10">
        <v>656450</v>
      </c>
      <c r="J351" s="62">
        <v>1</v>
      </c>
      <c r="L351" s="123" t="str">
        <f>E352</f>
        <v xml:space="preserve">JAIME </v>
      </c>
      <c r="M351" s="123" t="s">
        <v>61</v>
      </c>
      <c r="N351" s="124">
        <f>SUM(I352:I353)</f>
        <v>960306.65999999992</v>
      </c>
      <c r="O351" s="125">
        <f>SUM(J352:J353)</f>
        <v>1.5</v>
      </c>
    </row>
    <row r="352" spans="1:15">
      <c r="A352" s="15" t="s">
        <v>53</v>
      </c>
      <c r="B352" s="25" t="s">
        <v>82</v>
      </c>
      <c r="C352" s="42">
        <v>55</v>
      </c>
      <c r="D352" s="9">
        <v>41391</v>
      </c>
      <c r="E352" s="12" t="s">
        <v>214</v>
      </c>
      <c r="F352" s="12" t="s">
        <v>23</v>
      </c>
      <c r="G352" s="10">
        <v>8116.91</v>
      </c>
      <c r="H352" s="10"/>
      <c r="I352" s="10">
        <v>507306.6</v>
      </c>
      <c r="J352" s="62">
        <v>1</v>
      </c>
      <c r="L352" s="11"/>
      <c r="M352" s="11"/>
      <c r="N352" s="124"/>
      <c r="O352" s="125"/>
    </row>
    <row r="353" spans="1:15">
      <c r="A353" s="15" t="s">
        <v>53</v>
      </c>
      <c r="B353" s="25" t="s">
        <v>113</v>
      </c>
      <c r="C353" s="42">
        <v>177</v>
      </c>
      <c r="D353" s="9">
        <v>41281</v>
      </c>
      <c r="E353" s="12" t="s">
        <v>22</v>
      </c>
      <c r="F353" s="12" t="s">
        <v>23</v>
      </c>
      <c r="G353" s="10">
        <v>7248</v>
      </c>
      <c r="H353" s="10">
        <f>12276.3-G353</f>
        <v>5028.2999999999993</v>
      </c>
      <c r="I353" s="10">
        <v>453000.06</v>
      </c>
      <c r="J353" s="34">
        <v>0.5</v>
      </c>
      <c r="L353" s="123" t="str">
        <f>E354</f>
        <v>MEL</v>
      </c>
      <c r="M353" s="123" t="s">
        <v>24</v>
      </c>
      <c r="N353" s="124">
        <f>I354</f>
        <v>214848.07</v>
      </c>
      <c r="O353" s="125">
        <f>J354</f>
        <v>0.5</v>
      </c>
    </row>
    <row r="354" spans="1:15">
      <c r="A354" s="15" t="s">
        <v>124</v>
      </c>
      <c r="B354" s="25" t="s">
        <v>85</v>
      </c>
      <c r="C354" s="39">
        <v>301</v>
      </c>
      <c r="D354" s="9">
        <v>41343</v>
      </c>
      <c r="E354" s="12" t="s">
        <v>22</v>
      </c>
      <c r="F354" s="12" t="s">
        <v>23</v>
      </c>
      <c r="G354" s="10">
        <v>5822.39</v>
      </c>
      <c r="H354" s="10"/>
      <c r="I354" s="10">
        <v>214848.07</v>
      </c>
      <c r="J354" s="34">
        <v>0.5</v>
      </c>
      <c r="L354" s="123" t="str">
        <f>E355</f>
        <v>MEL</v>
      </c>
      <c r="M354" s="123" t="s">
        <v>24</v>
      </c>
      <c r="N354" s="124">
        <f>SUM(I355:I357)</f>
        <v>974871.9</v>
      </c>
      <c r="O354" s="125">
        <f>SUM(J355:J357)</f>
        <v>2.25</v>
      </c>
    </row>
    <row r="355" spans="1:15">
      <c r="A355" s="15" t="s">
        <v>124</v>
      </c>
      <c r="B355" s="25" t="s">
        <v>85</v>
      </c>
      <c r="C355" s="39">
        <v>302</v>
      </c>
      <c r="D355" s="9">
        <v>41343</v>
      </c>
      <c r="E355" s="12" t="s">
        <v>22</v>
      </c>
      <c r="F355" s="12" t="s">
        <v>23</v>
      </c>
      <c r="G355" s="10">
        <v>2867.33</v>
      </c>
      <c r="H355" s="10"/>
      <c r="I355" s="10">
        <v>109440</v>
      </c>
      <c r="J355" s="62">
        <v>0.25</v>
      </c>
      <c r="L355" s="11"/>
      <c r="M355" s="11"/>
      <c r="N355" s="124"/>
      <c r="O355" s="125"/>
    </row>
    <row r="356" spans="1:15">
      <c r="A356" s="15" t="s">
        <v>124</v>
      </c>
      <c r="B356" s="25" t="s">
        <v>85</v>
      </c>
      <c r="C356" s="39">
        <v>305</v>
      </c>
      <c r="D356" s="9">
        <v>41343</v>
      </c>
      <c r="E356" s="12" t="s">
        <v>22</v>
      </c>
      <c r="F356" s="12" t="s">
        <v>23</v>
      </c>
      <c r="G356" s="10">
        <v>11808.44</v>
      </c>
      <c r="H356" s="10"/>
      <c r="I356" s="10">
        <v>435735.76</v>
      </c>
      <c r="J356" s="62">
        <v>1</v>
      </c>
      <c r="L356" s="11"/>
      <c r="M356" s="11"/>
      <c r="N356" s="124"/>
      <c r="O356" s="125"/>
    </row>
    <row r="357" spans="1:15">
      <c r="A357" s="15" t="s">
        <v>124</v>
      </c>
      <c r="B357" s="25" t="s">
        <v>85</v>
      </c>
      <c r="C357" s="39">
        <v>306</v>
      </c>
      <c r="D357" s="9">
        <v>41343</v>
      </c>
      <c r="E357" s="12" t="s">
        <v>22</v>
      </c>
      <c r="F357" s="12" t="s">
        <v>23</v>
      </c>
      <c r="G357" s="10">
        <v>11644.77</v>
      </c>
      <c r="H357" s="10"/>
      <c r="I357" s="10">
        <v>429696.14</v>
      </c>
      <c r="J357" s="62">
        <v>1</v>
      </c>
      <c r="L357" s="123" t="str">
        <f>E358</f>
        <v>MEL</v>
      </c>
      <c r="M357" s="123" t="s">
        <v>27</v>
      </c>
      <c r="N357" s="124">
        <f>SUM(I358:I361)</f>
        <v>1700100.2000000002</v>
      </c>
      <c r="O357" s="125">
        <f>SUM(J358:J361)</f>
        <v>4</v>
      </c>
    </row>
    <row r="358" spans="1:15">
      <c r="A358" s="15" t="s">
        <v>124</v>
      </c>
      <c r="B358" s="25" t="s">
        <v>85</v>
      </c>
      <c r="C358" s="39">
        <v>307</v>
      </c>
      <c r="D358" s="9">
        <v>41343</v>
      </c>
      <c r="E358" s="12" t="s">
        <v>22</v>
      </c>
      <c r="F358" s="12" t="s">
        <v>23</v>
      </c>
      <c r="G358" s="10">
        <v>11199.71</v>
      </c>
      <c r="H358" s="10"/>
      <c r="I358" s="10">
        <v>413273.32</v>
      </c>
      <c r="J358" s="62">
        <v>1</v>
      </c>
      <c r="L358" s="11"/>
      <c r="M358" s="11"/>
      <c r="N358" s="124"/>
      <c r="O358" s="125"/>
    </row>
    <row r="359" spans="1:15">
      <c r="A359" s="15" t="s">
        <v>124</v>
      </c>
      <c r="B359" s="25" t="s">
        <v>85</v>
      </c>
      <c r="C359" s="39">
        <v>308</v>
      </c>
      <c r="D359" s="9">
        <v>41343</v>
      </c>
      <c r="E359" s="12" t="s">
        <v>22</v>
      </c>
      <c r="F359" s="12" t="s">
        <v>23</v>
      </c>
      <c r="G359" s="10">
        <v>11895.67</v>
      </c>
      <c r="H359" s="10"/>
      <c r="I359" s="10">
        <v>438954.6</v>
      </c>
      <c r="J359" s="62">
        <v>1</v>
      </c>
      <c r="L359" s="11"/>
      <c r="M359" s="11"/>
      <c r="N359" s="124"/>
      <c r="O359" s="125"/>
    </row>
    <row r="360" spans="1:15">
      <c r="A360" s="15" t="s">
        <v>124</v>
      </c>
      <c r="B360" s="25" t="s">
        <v>85</v>
      </c>
      <c r="C360" s="39">
        <v>309</v>
      </c>
      <c r="D360" s="9">
        <v>41343</v>
      </c>
      <c r="E360" s="12" t="s">
        <v>22</v>
      </c>
      <c r="F360" s="12" t="s">
        <v>23</v>
      </c>
      <c r="G360" s="10">
        <v>11488.67</v>
      </c>
      <c r="H360" s="10"/>
      <c r="I360" s="10">
        <v>423936.14</v>
      </c>
      <c r="J360" s="62">
        <v>1</v>
      </c>
      <c r="L360" s="11"/>
      <c r="M360" s="11"/>
      <c r="N360" s="124"/>
      <c r="O360" s="125"/>
    </row>
    <row r="361" spans="1:15">
      <c r="A361" s="15" t="s">
        <v>124</v>
      </c>
      <c r="B361" s="25" t="s">
        <v>85</v>
      </c>
      <c r="C361" s="39">
        <v>310</v>
      </c>
      <c r="D361" s="9">
        <v>41343</v>
      </c>
      <c r="E361" s="12" t="s">
        <v>22</v>
      </c>
      <c r="F361" s="12" t="s">
        <v>23</v>
      </c>
      <c r="G361" s="10">
        <v>11488.67</v>
      </c>
      <c r="H361" s="10"/>
      <c r="I361" s="10">
        <v>423936.14</v>
      </c>
      <c r="J361" s="62">
        <v>1</v>
      </c>
      <c r="L361" s="123" t="str">
        <f>E362</f>
        <v>MEL</v>
      </c>
      <c r="M361" s="123" t="s">
        <v>79</v>
      </c>
      <c r="N361" s="124">
        <f>SUM(I362:I368)</f>
        <v>2621450.3500000006</v>
      </c>
      <c r="O361" s="125">
        <f>SUM(J362:J368)</f>
        <v>6.5</v>
      </c>
    </row>
    <row r="362" spans="1:15">
      <c r="A362" s="15" t="s">
        <v>124</v>
      </c>
      <c r="B362" s="25" t="s">
        <v>85</v>
      </c>
      <c r="C362" s="39">
        <v>311</v>
      </c>
      <c r="D362" s="9">
        <v>41343</v>
      </c>
      <c r="E362" s="12" t="s">
        <v>22</v>
      </c>
      <c r="F362" s="12" t="s">
        <v>23</v>
      </c>
      <c r="G362" s="10">
        <v>10834.97</v>
      </c>
      <c r="H362" s="10"/>
      <c r="I362" s="10">
        <v>399814.5</v>
      </c>
      <c r="J362" s="62">
        <v>1</v>
      </c>
      <c r="L362" s="11"/>
      <c r="M362" s="11"/>
      <c r="N362" s="124"/>
      <c r="O362" s="125"/>
    </row>
    <row r="363" spans="1:15">
      <c r="A363" s="15" t="s">
        <v>124</v>
      </c>
      <c r="B363" s="25" t="s">
        <v>85</v>
      </c>
      <c r="C363" s="39">
        <v>1409</v>
      </c>
      <c r="D363" s="9">
        <v>41343</v>
      </c>
      <c r="E363" s="12" t="s">
        <v>22</v>
      </c>
      <c r="F363" s="12" t="s">
        <v>23</v>
      </c>
      <c r="G363" s="10">
        <v>11060.43</v>
      </c>
      <c r="H363" s="10"/>
      <c r="I363" s="10">
        <v>408133.8</v>
      </c>
      <c r="J363" s="62">
        <v>1</v>
      </c>
      <c r="L363" s="11"/>
      <c r="M363" s="11"/>
      <c r="N363" s="124"/>
      <c r="O363" s="125"/>
    </row>
    <row r="364" spans="1:15">
      <c r="A364" s="15" t="s">
        <v>124</v>
      </c>
      <c r="B364" s="25" t="s">
        <v>85</v>
      </c>
      <c r="C364" s="39">
        <v>1410</v>
      </c>
      <c r="D364" s="9">
        <v>41343</v>
      </c>
      <c r="E364" s="12" t="s">
        <v>22</v>
      </c>
      <c r="F364" s="12" t="s">
        <v>23</v>
      </c>
      <c r="G364" s="10">
        <v>13069.9</v>
      </c>
      <c r="H364" s="10"/>
      <c r="I364" s="10">
        <v>482283.98</v>
      </c>
      <c r="J364" s="62">
        <v>1</v>
      </c>
      <c r="L364" s="11"/>
      <c r="M364" s="11"/>
      <c r="N364" s="124"/>
      <c r="O364" s="125"/>
    </row>
    <row r="365" spans="1:15">
      <c r="A365" s="15" t="s">
        <v>145</v>
      </c>
      <c r="B365" s="25" t="s">
        <v>85</v>
      </c>
      <c r="C365" s="39">
        <v>1810</v>
      </c>
      <c r="D365" s="9">
        <v>41411</v>
      </c>
      <c r="E365" s="12" t="s">
        <v>198</v>
      </c>
      <c r="F365" s="12" t="s">
        <v>23</v>
      </c>
      <c r="G365" s="10">
        <v>3123.8</v>
      </c>
      <c r="H365" s="10">
        <v>2167.13</v>
      </c>
      <c r="I365" s="10">
        <v>195237.34</v>
      </c>
      <c r="J365" s="62">
        <v>0.5</v>
      </c>
      <c r="L365" s="11"/>
      <c r="M365" s="11"/>
      <c r="N365" s="124"/>
      <c r="O365" s="125"/>
    </row>
    <row r="366" spans="1:15">
      <c r="A366" s="15" t="s">
        <v>270</v>
      </c>
      <c r="B366" s="25" t="s">
        <v>273</v>
      </c>
      <c r="C366" s="42">
        <v>31</v>
      </c>
      <c r="D366" s="9">
        <v>41455</v>
      </c>
      <c r="E366" s="12" t="s">
        <v>198</v>
      </c>
      <c r="F366" s="12" t="s">
        <v>23</v>
      </c>
      <c r="G366" s="10">
        <v>6180.17</v>
      </c>
      <c r="H366" s="10">
        <v>1969.93</v>
      </c>
      <c r="I366" s="10">
        <v>386260.76</v>
      </c>
      <c r="J366" s="62">
        <v>1</v>
      </c>
      <c r="L366" s="11"/>
      <c r="M366" s="11"/>
      <c r="N366" s="124"/>
      <c r="O366" s="125"/>
    </row>
    <row r="367" spans="1:15">
      <c r="A367" s="15" t="s">
        <v>270</v>
      </c>
      <c r="B367" s="25" t="s">
        <v>273</v>
      </c>
      <c r="C367" s="42">
        <v>68</v>
      </c>
      <c r="D367" s="9">
        <v>41452</v>
      </c>
      <c r="E367" s="12" t="s">
        <v>198</v>
      </c>
      <c r="F367" s="12" t="s">
        <v>23</v>
      </c>
      <c r="G367" s="10">
        <v>5881.51</v>
      </c>
      <c r="H367" s="10">
        <v>2977.51</v>
      </c>
      <c r="I367" s="10">
        <v>367594.19</v>
      </c>
      <c r="J367" s="62">
        <v>1</v>
      </c>
      <c r="L367" s="11"/>
      <c r="M367" s="11"/>
      <c r="N367" s="124"/>
      <c r="O367" s="125"/>
    </row>
    <row r="368" spans="1:15">
      <c r="A368" s="15" t="s">
        <v>145</v>
      </c>
      <c r="B368" s="25" t="s">
        <v>85</v>
      </c>
      <c r="C368" s="39">
        <v>816</v>
      </c>
      <c r="D368" s="9">
        <v>41415</v>
      </c>
      <c r="E368" s="12" t="s">
        <v>160</v>
      </c>
      <c r="F368" s="12" t="s">
        <v>23</v>
      </c>
      <c r="G368" s="10">
        <f>I368*1.6%</f>
        <v>6114.0124800000003</v>
      </c>
      <c r="H368" s="10">
        <v>3897.68</v>
      </c>
      <c r="I368" s="10">
        <v>382125.78</v>
      </c>
      <c r="J368" s="62">
        <v>1</v>
      </c>
      <c r="L368" s="123" t="str">
        <f>E369</f>
        <v>RONALDO</v>
      </c>
      <c r="M368" s="123" t="s">
        <v>79</v>
      </c>
      <c r="N368" s="124">
        <f>SUM(I369:I372)</f>
        <v>1222241.51</v>
      </c>
      <c r="O368" s="125">
        <f>SUM(J369:J372)</f>
        <v>3.5</v>
      </c>
    </row>
    <row r="369" spans="1:15">
      <c r="A369" s="15" t="s">
        <v>145</v>
      </c>
      <c r="B369" s="25" t="s">
        <v>85</v>
      </c>
      <c r="C369" s="39">
        <v>1111</v>
      </c>
      <c r="D369" s="9">
        <v>41413</v>
      </c>
      <c r="E369" s="12" t="s">
        <v>160</v>
      </c>
      <c r="F369" s="12" t="s">
        <v>23</v>
      </c>
      <c r="G369" s="10">
        <v>3025.3</v>
      </c>
      <c r="H369" s="10">
        <v>2098.8000000000002</v>
      </c>
      <c r="I369" s="10">
        <v>189081</v>
      </c>
      <c r="J369" s="62">
        <v>0.5</v>
      </c>
      <c r="L369" s="11"/>
      <c r="M369" s="11"/>
      <c r="N369" s="124"/>
      <c r="O369" s="125"/>
    </row>
    <row r="370" spans="1:15">
      <c r="A370" s="15" t="s">
        <v>145</v>
      </c>
      <c r="B370" s="25" t="s">
        <v>85</v>
      </c>
      <c r="C370" s="39">
        <v>510</v>
      </c>
      <c r="D370" s="9">
        <v>41413</v>
      </c>
      <c r="E370" s="12" t="s">
        <v>199</v>
      </c>
      <c r="F370" s="12" t="s">
        <v>23</v>
      </c>
      <c r="G370" s="10">
        <v>5366.77</v>
      </c>
      <c r="H370" s="10">
        <v>3723.2</v>
      </c>
      <c r="I370" s="10">
        <v>335423.21000000002</v>
      </c>
      <c r="J370" s="62">
        <v>1</v>
      </c>
      <c r="L370" s="11"/>
      <c r="M370" s="11"/>
      <c r="N370" s="124"/>
      <c r="O370" s="125"/>
    </row>
    <row r="371" spans="1:15">
      <c r="A371" s="15" t="s">
        <v>145</v>
      </c>
      <c r="B371" s="25" t="s">
        <v>85</v>
      </c>
      <c r="C371" s="39">
        <v>1516</v>
      </c>
      <c r="D371" s="9">
        <v>41408</v>
      </c>
      <c r="E371" s="12" t="s">
        <v>263</v>
      </c>
      <c r="F371" s="12" t="s">
        <v>23</v>
      </c>
      <c r="G371" s="10">
        <v>5011.3100000000004</v>
      </c>
      <c r="H371" s="10">
        <v>3476.6</v>
      </c>
      <c r="I371" s="10">
        <v>313206.90000000002</v>
      </c>
      <c r="J371" s="34">
        <v>1</v>
      </c>
      <c r="L371" s="11"/>
      <c r="M371" s="11"/>
      <c r="N371" s="124"/>
      <c r="O371" s="125"/>
    </row>
    <row r="372" spans="1:15">
      <c r="A372" s="15" t="s">
        <v>145</v>
      </c>
      <c r="B372" s="25" t="s">
        <v>85</v>
      </c>
      <c r="C372" s="39">
        <v>2201</v>
      </c>
      <c r="D372" s="9">
        <v>41408</v>
      </c>
      <c r="E372" s="12" t="s">
        <v>263</v>
      </c>
      <c r="F372" s="12" t="s">
        <v>23</v>
      </c>
      <c r="G372" s="10">
        <v>6152.49</v>
      </c>
      <c r="H372" s="10">
        <v>4268.29</v>
      </c>
      <c r="I372" s="10">
        <v>384530.4</v>
      </c>
      <c r="J372" s="34">
        <v>1</v>
      </c>
      <c r="L372" s="123" t="str">
        <f>E373</f>
        <v>SOLANGE</v>
      </c>
      <c r="M372" s="123" t="s">
        <v>23</v>
      </c>
      <c r="N372" s="124">
        <f>SUM(I373:I375)</f>
        <v>928681.95</v>
      </c>
      <c r="O372" s="125">
        <f>SUM(J373:J375)</f>
        <v>2</v>
      </c>
    </row>
    <row r="373" spans="1:15">
      <c r="A373" s="15" t="s">
        <v>145</v>
      </c>
      <c r="B373" s="25" t="s">
        <v>85</v>
      </c>
      <c r="C373" s="39">
        <v>2316</v>
      </c>
      <c r="D373" s="9">
        <v>41408</v>
      </c>
      <c r="E373" s="12" t="s">
        <v>263</v>
      </c>
      <c r="F373" s="12" t="s">
        <v>23</v>
      </c>
      <c r="G373" s="10">
        <v>3108.9</v>
      </c>
      <c r="H373" s="10">
        <v>2156.8000000000002</v>
      </c>
      <c r="I373" s="10">
        <v>194306.47</v>
      </c>
      <c r="J373" s="34">
        <v>0.5</v>
      </c>
      <c r="L373" s="11"/>
      <c r="M373" s="11"/>
      <c r="N373" s="124"/>
      <c r="O373" s="125"/>
    </row>
    <row r="374" spans="1:15">
      <c r="A374" s="15" t="s">
        <v>145</v>
      </c>
      <c r="B374" s="25" t="s">
        <v>82</v>
      </c>
      <c r="C374" s="39">
        <v>1604</v>
      </c>
      <c r="D374" s="9">
        <v>41446</v>
      </c>
      <c r="E374" s="12" t="s">
        <v>263</v>
      </c>
      <c r="F374" s="12" t="s">
        <v>23</v>
      </c>
      <c r="G374" s="10">
        <v>8183.37</v>
      </c>
      <c r="H374" s="10">
        <v>5677.22</v>
      </c>
      <c r="I374" s="10">
        <v>511460.85</v>
      </c>
      <c r="J374" s="62">
        <v>1</v>
      </c>
      <c r="L374" s="11"/>
      <c r="M374" s="11"/>
      <c r="N374" s="124"/>
      <c r="O374" s="125"/>
    </row>
    <row r="375" spans="1:15">
      <c r="A375" s="15" t="s">
        <v>270</v>
      </c>
      <c r="B375" s="25" t="s">
        <v>273</v>
      </c>
      <c r="C375" s="42">
        <v>13</v>
      </c>
      <c r="D375" s="9">
        <v>41452</v>
      </c>
      <c r="E375" s="12" t="s">
        <v>298</v>
      </c>
      <c r="F375" s="12" t="s">
        <v>23</v>
      </c>
      <c r="G375" s="10">
        <v>3566.63</v>
      </c>
      <c r="H375" s="10">
        <v>1354.21</v>
      </c>
      <c r="I375" s="10">
        <v>222914.63</v>
      </c>
      <c r="J375" s="62">
        <v>0.5</v>
      </c>
      <c r="L375" s="123" t="str">
        <f>E376</f>
        <v xml:space="preserve">ARTTE </v>
      </c>
      <c r="M375" s="123" t="s">
        <v>79</v>
      </c>
      <c r="N375" s="124">
        <f>I376</f>
        <v>2085000</v>
      </c>
      <c r="O375" s="125">
        <f>J376</f>
        <v>1</v>
      </c>
    </row>
    <row r="376" spans="1:15">
      <c r="A376" s="15" t="s">
        <v>89</v>
      </c>
      <c r="B376" s="25" t="s">
        <v>85</v>
      </c>
      <c r="C376" s="39">
        <v>41</v>
      </c>
      <c r="D376" s="12">
        <v>41401</v>
      </c>
      <c r="E376" s="12" t="s">
        <v>187</v>
      </c>
      <c r="F376" s="12" t="s">
        <v>27</v>
      </c>
      <c r="G376" s="10">
        <f>I376*2%</f>
        <v>41700</v>
      </c>
      <c r="H376" s="10">
        <v>0</v>
      </c>
      <c r="I376" s="10">
        <v>2085000</v>
      </c>
      <c r="J376" s="62">
        <v>1</v>
      </c>
      <c r="L376" s="123" t="str">
        <f>E377</f>
        <v xml:space="preserve">ARTTE </v>
      </c>
      <c r="M376" s="123" t="s">
        <v>23</v>
      </c>
      <c r="N376" s="124">
        <f>SUM(I377:I378)</f>
        <v>800000</v>
      </c>
      <c r="O376" s="125">
        <f>SUM(J377:J378)</f>
        <v>2</v>
      </c>
    </row>
    <row r="377" spans="1:15">
      <c r="A377" s="15" t="s">
        <v>186</v>
      </c>
      <c r="B377" s="25" t="s">
        <v>85</v>
      </c>
      <c r="C377" s="42">
        <v>1108</v>
      </c>
      <c r="D377" s="9">
        <v>41396</v>
      </c>
      <c r="E377" s="12" t="s">
        <v>187</v>
      </c>
      <c r="F377" s="12" t="s">
        <v>27</v>
      </c>
      <c r="G377" s="10">
        <f>I377*2%</f>
        <v>8000</v>
      </c>
      <c r="H377" s="10">
        <v>0</v>
      </c>
      <c r="I377" s="10">
        <v>400000</v>
      </c>
      <c r="J377" s="62">
        <v>1</v>
      </c>
      <c r="L377" s="11"/>
      <c r="M377" s="11"/>
      <c r="N377" s="124"/>
      <c r="O377" s="125"/>
    </row>
    <row r="378" spans="1:15">
      <c r="A378" s="15" t="s">
        <v>186</v>
      </c>
      <c r="B378" s="25" t="s">
        <v>85</v>
      </c>
      <c r="C378" s="42">
        <v>1109</v>
      </c>
      <c r="D378" s="9">
        <v>41396</v>
      </c>
      <c r="E378" s="12" t="s">
        <v>187</v>
      </c>
      <c r="F378" s="12" t="s">
        <v>27</v>
      </c>
      <c r="G378" s="10">
        <f>I378*2%</f>
        <v>8000</v>
      </c>
      <c r="H378" s="10">
        <v>0</v>
      </c>
      <c r="I378" s="10">
        <v>400000</v>
      </c>
      <c r="J378" s="62">
        <v>1</v>
      </c>
      <c r="L378" s="123" t="str">
        <f>E379</f>
        <v>CAXAMBU</v>
      </c>
      <c r="M378" s="123" t="s">
        <v>24</v>
      </c>
      <c r="N378" s="124">
        <f>SUM(I379:I381)</f>
        <v>674850.81</v>
      </c>
      <c r="O378" s="125">
        <f>SUM(J379:J381)</f>
        <v>2</v>
      </c>
    </row>
    <row r="379" spans="1:15">
      <c r="A379" s="15" t="s">
        <v>195</v>
      </c>
      <c r="B379" s="25" t="s">
        <v>220</v>
      </c>
      <c r="C379" s="42">
        <v>46</v>
      </c>
      <c r="D379" s="9">
        <v>41315</v>
      </c>
      <c r="E379" s="12" t="s">
        <v>41</v>
      </c>
      <c r="F379" s="12" t="s">
        <v>27</v>
      </c>
      <c r="G379" s="10">
        <v>2480</v>
      </c>
      <c r="H379" s="10">
        <f>2747.84-G379</f>
        <v>267.84000000000015</v>
      </c>
      <c r="I379" s="10">
        <v>124000</v>
      </c>
      <c r="J379" s="34">
        <v>0.5</v>
      </c>
      <c r="L379" s="11"/>
      <c r="M379" s="11"/>
      <c r="N379" s="124"/>
      <c r="O379" s="125"/>
    </row>
    <row r="380" spans="1:15">
      <c r="A380" s="15" t="s">
        <v>209</v>
      </c>
      <c r="B380" s="25" t="s">
        <v>220</v>
      </c>
      <c r="C380" s="39">
        <v>55</v>
      </c>
      <c r="D380" s="9">
        <v>41356</v>
      </c>
      <c r="E380" s="12" t="s">
        <v>41</v>
      </c>
      <c r="F380" s="12" t="s">
        <v>27</v>
      </c>
      <c r="G380" s="10">
        <v>4416.1000000000004</v>
      </c>
      <c r="H380" s="10"/>
      <c r="I380" s="10">
        <v>120002.73</v>
      </c>
      <c r="J380" s="62">
        <v>0.5</v>
      </c>
      <c r="L380" s="11"/>
      <c r="M380" s="11"/>
      <c r="N380" s="124"/>
      <c r="O380" s="125"/>
    </row>
    <row r="381" spans="1:15">
      <c r="A381" s="15" t="s">
        <v>124</v>
      </c>
      <c r="B381" s="25" t="s">
        <v>85</v>
      </c>
      <c r="C381" s="42" t="s">
        <v>222</v>
      </c>
      <c r="D381" s="9">
        <v>41343</v>
      </c>
      <c r="E381" s="12" t="s">
        <v>41</v>
      </c>
      <c r="F381" s="12" t="s">
        <v>27</v>
      </c>
      <c r="G381" s="10">
        <v>11675.98</v>
      </c>
      <c r="H381" s="10"/>
      <c r="I381" s="10">
        <v>430848.08</v>
      </c>
      <c r="J381" s="62">
        <v>1</v>
      </c>
      <c r="L381" s="123" t="str">
        <f>E382</f>
        <v>CAXAMBU</v>
      </c>
      <c r="M381" s="123" t="s">
        <v>61</v>
      </c>
      <c r="N381" s="124">
        <f>SUM(I382:I385)</f>
        <v>1525936.57</v>
      </c>
      <c r="O381" s="125">
        <f>SUM(J382:J385)</f>
        <v>3.5</v>
      </c>
    </row>
    <row r="382" spans="1:15">
      <c r="A382" s="15" t="s">
        <v>145</v>
      </c>
      <c r="B382" s="25" t="s">
        <v>85</v>
      </c>
      <c r="C382" s="39">
        <v>904</v>
      </c>
      <c r="D382" s="9">
        <v>41413</v>
      </c>
      <c r="E382" s="12" t="s">
        <v>41</v>
      </c>
      <c r="F382" s="12" t="s">
        <v>27</v>
      </c>
      <c r="G382" s="10">
        <v>3682.47</v>
      </c>
      <c r="H382" s="10">
        <v>2554.71</v>
      </c>
      <c r="I382" s="10">
        <v>230154.07</v>
      </c>
      <c r="J382" s="62">
        <v>0.5</v>
      </c>
      <c r="L382" s="11"/>
      <c r="M382" s="11"/>
      <c r="N382" s="124"/>
      <c r="O382" s="125"/>
    </row>
    <row r="383" spans="1:15">
      <c r="A383" s="15" t="s">
        <v>270</v>
      </c>
      <c r="B383" s="25" t="s">
        <v>273</v>
      </c>
      <c r="C383" s="42">
        <v>35</v>
      </c>
      <c r="D383" s="9">
        <v>41455</v>
      </c>
      <c r="E383" s="12" t="s">
        <v>274</v>
      </c>
      <c r="F383" s="12" t="s">
        <v>27</v>
      </c>
      <c r="G383" s="10">
        <v>5964.06</v>
      </c>
      <c r="H383" s="10">
        <v>1386.64</v>
      </c>
      <c r="I383" s="10">
        <v>372753.5</v>
      </c>
      <c r="J383" s="62">
        <v>1</v>
      </c>
      <c r="L383" s="11"/>
      <c r="M383" s="11"/>
      <c r="N383" s="124"/>
      <c r="O383" s="125"/>
    </row>
    <row r="384" spans="1:15">
      <c r="A384" s="15" t="s">
        <v>270</v>
      </c>
      <c r="B384" s="25" t="s">
        <v>271</v>
      </c>
      <c r="C384" s="42">
        <v>36</v>
      </c>
      <c r="D384" s="9">
        <v>41455</v>
      </c>
      <c r="E384" s="12" t="s">
        <v>274</v>
      </c>
      <c r="F384" s="12" t="s">
        <v>27</v>
      </c>
      <c r="G384" s="10">
        <v>7877.26</v>
      </c>
      <c r="H384" s="10">
        <v>3987.86</v>
      </c>
      <c r="I384" s="10">
        <v>492329</v>
      </c>
      <c r="J384" s="62">
        <v>1</v>
      </c>
      <c r="L384" s="11"/>
      <c r="M384" s="11"/>
      <c r="N384" s="124"/>
      <c r="O384" s="125"/>
    </row>
    <row r="385" spans="1:15">
      <c r="A385" s="15" t="s">
        <v>270</v>
      </c>
      <c r="B385" s="25" t="s">
        <v>271</v>
      </c>
      <c r="C385" s="42">
        <v>46</v>
      </c>
      <c r="D385" s="9">
        <v>41455</v>
      </c>
      <c r="E385" s="12" t="s">
        <v>274</v>
      </c>
      <c r="F385" s="12" t="s">
        <v>27</v>
      </c>
      <c r="G385" s="10">
        <v>6891.2</v>
      </c>
      <c r="H385" s="10">
        <v>3488.67</v>
      </c>
      <c r="I385" s="10">
        <v>430700</v>
      </c>
      <c r="J385" s="62">
        <v>1</v>
      </c>
      <c r="L385" s="123" t="str">
        <f>E386</f>
        <v>EVA</v>
      </c>
      <c r="M385" s="123" t="s">
        <v>23</v>
      </c>
      <c r="N385" s="124">
        <f>I386</f>
        <v>530824.75</v>
      </c>
      <c r="O385" s="125">
        <f>J386</f>
        <v>1</v>
      </c>
    </row>
    <row r="386" spans="1:15">
      <c r="A386" s="15" t="s">
        <v>270</v>
      </c>
      <c r="B386" s="25" t="s">
        <v>271</v>
      </c>
      <c r="C386" s="39">
        <v>77</v>
      </c>
      <c r="D386" s="9">
        <v>41451</v>
      </c>
      <c r="E386" s="12" t="s">
        <v>276</v>
      </c>
      <c r="F386" s="12" t="s">
        <v>27</v>
      </c>
      <c r="G386" s="10">
        <v>8493.2000000000007</v>
      </c>
      <c r="H386" s="10">
        <v>4299.68</v>
      </c>
      <c r="I386" s="10">
        <v>530824.75</v>
      </c>
      <c r="J386" s="62">
        <v>1</v>
      </c>
      <c r="L386" s="11"/>
      <c r="M386" s="11"/>
      <c r="N386" s="124"/>
      <c r="O386" s="125"/>
    </row>
    <row r="387" spans="1:15">
      <c r="A387" s="15" t="s">
        <v>57</v>
      </c>
      <c r="B387" s="25" t="s">
        <v>188</v>
      </c>
      <c r="C387" s="39">
        <v>46</v>
      </c>
      <c r="D387" s="9">
        <v>41301</v>
      </c>
      <c r="E387" s="12" t="s">
        <v>39</v>
      </c>
      <c r="F387" s="12" t="s">
        <v>27</v>
      </c>
      <c r="G387" s="10">
        <v>6255.53</v>
      </c>
      <c r="H387" s="10">
        <v>0</v>
      </c>
      <c r="I387" s="10">
        <v>312776.49</v>
      </c>
      <c r="J387" s="34">
        <v>1</v>
      </c>
      <c r="L387" s="123" t="str">
        <f>E387</f>
        <v>FANY</v>
      </c>
      <c r="M387" s="123" t="s">
        <v>61</v>
      </c>
      <c r="N387" s="124">
        <f>SUM(I387:I389)</f>
        <v>1502610.45</v>
      </c>
      <c r="O387" s="125">
        <f>SUM(J387:J389)</f>
        <v>4</v>
      </c>
    </row>
    <row r="388" spans="1:15">
      <c r="A388" s="15" t="s">
        <v>208</v>
      </c>
      <c r="B388" s="25" t="s">
        <v>188</v>
      </c>
      <c r="C388" s="39">
        <v>17</v>
      </c>
      <c r="D388" s="12">
        <v>41369</v>
      </c>
      <c r="E388" s="12" t="s">
        <v>39</v>
      </c>
      <c r="F388" s="12" t="s">
        <v>27</v>
      </c>
      <c r="G388" s="10">
        <f>I388*2%</f>
        <v>5477.43</v>
      </c>
      <c r="H388" s="10"/>
      <c r="I388" s="10">
        <v>273871.5</v>
      </c>
      <c r="J388" s="34">
        <v>1</v>
      </c>
      <c r="L388" s="11"/>
      <c r="M388" s="11"/>
      <c r="N388" s="124"/>
      <c r="O388" s="125"/>
    </row>
    <row r="389" spans="1:15">
      <c r="A389" s="15" t="s">
        <v>124</v>
      </c>
      <c r="B389" s="25" t="s">
        <v>85</v>
      </c>
      <c r="C389" s="42" t="s">
        <v>228</v>
      </c>
      <c r="D389" s="9">
        <v>41343</v>
      </c>
      <c r="E389" s="12" t="s">
        <v>75</v>
      </c>
      <c r="F389" s="12" t="s">
        <v>27</v>
      </c>
      <c r="G389" s="10">
        <f>12411.29+12411.29</f>
        <v>24822.58</v>
      </c>
      <c r="H389" s="10"/>
      <c r="I389" s="10">
        <f>457981.23+457981.23</f>
        <v>915962.46</v>
      </c>
      <c r="J389" s="62">
        <v>2</v>
      </c>
      <c r="L389" s="123" t="str">
        <f>E390</f>
        <v>GALILEU</v>
      </c>
      <c r="M389" s="123" t="s">
        <v>23</v>
      </c>
      <c r="N389" s="124">
        <f>SUM(I390:I393)</f>
        <v>1047069.31</v>
      </c>
      <c r="O389" s="125">
        <f>SUM(J390:J393)</f>
        <v>2</v>
      </c>
    </row>
    <row r="390" spans="1:15">
      <c r="A390" s="15" t="s">
        <v>145</v>
      </c>
      <c r="B390" s="25" t="s">
        <v>85</v>
      </c>
      <c r="C390" s="42">
        <v>1605</v>
      </c>
      <c r="D390" s="9">
        <v>41413</v>
      </c>
      <c r="E390" s="12" t="s">
        <v>75</v>
      </c>
      <c r="F390" s="12" t="s">
        <v>27</v>
      </c>
      <c r="G390" s="10">
        <v>5198.3900000000003</v>
      </c>
      <c r="H390" s="10">
        <v>4307.1899999999996</v>
      </c>
      <c r="I390" s="10">
        <v>324899</v>
      </c>
      <c r="J390" s="62">
        <v>0.5</v>
      </c>
      <c r="L390" s="11"/>
      <c r="M390" s="11"/>
      <c r="N390" s="124"/>
      <c r="O390" s="125"/>
    </row>
    <row r="391" spans="1:15">
      <c r="A391" s="15" t="s">
        <v>145</v>
      </c>
      <c r="B391" s="25" t="s">
        <v>85</v>
      </c>
      <c r="C391" s="42">
        <v>1606</v>
      </c>
      <c r="D391" s="9">
        <v>41413</v>
      </c>
      <c r="E391" s="12" t="s">
        <v>75</v>
      </c>
      <c r="F391" s="12" t="s">
        <v>27</v>
      </c>
      <c r="G391" s="10">
        <v>2958.41</v>
      </c>
      <c r="H391" s="10">
        <v>0</v>
      </c>
      <c r="I391" s="10">
        <v>184900.5</v>
      </c>
      <c r="J391" s="62">
        <v>0.5</v>
      </c>
      <c r="L391" s="11"/>
      <c r="M391" s="11"/>
      <c r="N391" s="124"/>
      <c r="O391" s="125"/>
    </row>
    <row r="392" spans="1:15">
      <c r="A392" s="15" t="s">
        <v>145</v>
      </c>
      <c r="B392" s="25" t="s">
        <v>85</v>
      </c>
      <c r="C392" s="39">
        <v>1612</v>
      </c>
      <c r="D392" s="9">
        <v>41413</v>
      </c>
      <c r="E392" s="12" t="s">
        <v>75</v>
      </c>
      <c r="F392" s="12" t="s">
        <v>27</v>
      </c>
      <c r="G392" s="10">
        <v>5397.49</v>
      </c>
      <c r="H392" s="10">
        <v>3744.51</v>
      </c>
      <c r="I392" s="10">
        <v>337343.13</v>
      </c>
      <c r="J392" s="62">
        <v>0.5</v>
      </c>
      <c r="L392" s="11"/>
      <c r="M392" s="11"/>
      <c r="N392" s="124"/>
      <c r="O392" s="125"/>
    </row>
    <row r="393" spans="1:15">
      <c r="A393" s="15" t="s">
        <v>145</v>
      </c>
      <c r="B393" s="25" t="s">
        <v>85</v>
      </c>
      <c r="C393" s="42">
        <v>1714</v>
      </c>
      <c r="D393" s="9">
        <v>41418</v>
      </c>
      <c r="E393" s="12" t="s">
        <v>75</v>
      </c>
      <c r="F393" s="12" t="s">
        <v>27</v>
      </c>
      <c r="G393" s="10">
        <v>3198.83</v>
      </c>
      <c r="H393" s="10">
        <v>2219.19</v>
      </c>
      <c r="I393" s="10">
        <v>199926.68</v>
      </c>
      <c r="J393" s="62">
        <v>0.5</v>
      </c>
      <c r="L393" s="123" t="str">
        <f>E394</f>
        <v xml:space="preserve">GILDA </v>
      </c>
      <c r="M393" s="123" t="s">
        <v>61</v>
      </c>
      <c r="N393" s="124">
        <f>I394</f>
        <v>580000</v>
      </c>
      <c r="O393" s="125">
        <f>J394</f>
        <v>1</v>
      </c>
    </row>
    <row r="394" spans="1:15">
      <c r="A394" s="15" t="s">
        <v>53</v>
      </c>
      <c r="B394" s="25" t="s">
        <v>85</v>
      </c>
      <c r="C394" s="39">
        <v>26</v>
      </c>
      <c r="D394" s="9">
        <v>41357</v>
      </c>
      <c r="E394" s="12" t="s">
        <v>194</v>
      </c>
      <c r="F394" s="12" t="s">
        <v>27</v>
      </c>
      <c r="G394" s="10">
        <v>9280</v>
      </c>
      <c r="H394" s="10"/>
      <c r="I394" s="10">
        <v>580000</v>
      </c>
      <c r="J394" s="62">
        <v>1</v>
      </c>
      <c r="L394" s="123" t="str">
        <f>E395</f>
        <v xml:space="preserve">GILDA </v>
      </c>
      <c r="M394" s="123" t="s">
        <v>316</v>
      </c>
      <c r="N394" s="124">
        <f>SUM(I395:I397)</f>
        <v>1551426.5799999998</v>
      </c>
      <c r="O394" s="125">
        <f>SUM(J395:J397)</f>
        <v>3.5</v>
      </c>
    </row>
    <row r="395" spans="1:15">
      <c r="A395" s="15" t="s">
        <v>53</v>
      </c>
      <c r="B395" s="25" t="s">
        <v>85</v>
      </c>
      <c r="C395" s="42">
        <v>21</v>
      </c>
      <c r="D395" s="9">
        <v>41358</v>
      </c>
      <c r="E395" s="12" t="s">
        <v>194</v>
      </c>
      <c r="F395" s="12" t="s">
        <v>27</v>
      </c>
      <c r="G395" s="10">
        <v>6720</v>
      </c>
      <c r="H395" s="10"/>
      <c r="I395" s="10">
        <v>420000</v>
      </c>
      <c r="J395" s="34">
        <v>1</v>
      </c>
      <c r="L395" s="11"/>
      <c r="M395" s="11"/>
      <c r="N395" s="124"/>
      <c r="O395" s="125"/>
    </row>
    <row r="396" spans="1:15">
      <c r="A396" s="15" t="s">
        <v>124</v>
      </c>
      <c r="B396" s="25" t="s">
        <v>85</v>
      </c>
      <c r="C396" s="42" t="s">
        <v>229</v>
      </c>
      <c r="D396" s="9">
        <v>41343</v>
      </c>
      <c r="E396" s="12" t="s">
        <v>194</v>
      </c>
      <c r="F396" s="12" t="s">
        <v>27</v>
      </c>
      <c r="G396" s="10">
        <f>12805.07+12805.07</f>
        <v>25610.14</v>
      </c>
      <c r="H396" s="10"/>
      <c r="I396" s="10">
        <f>472511.95+472511.95</f>
        <v>945023.9</v>
      </c>
      <c r="J396" s="62">
        <v>2</v>
      </c>
      <c r="L396" s="11"/>
      <c r="M396" s="11"/>
      <c r="N396" s="124"/>
      <c r="O396" s="125"/>
    </row>
    <row r="397" spans="1:15">
      <c r="A397" s="15" t="s">
        <v>145</v>
      </c>
      <c r="B397" s="25" t="s">
        <v>85</v>
      </c>
      <c r="C397" s="39">
        <v>411</v>
      </c>
      <c r="D397" s="9">
        <v>41414</v>
      </c>
      <c r="E397" s="12" t="s">
        <v>194</v>
      </c>
      <c r="F397" s="12" t="s">
        <v>27</v>
      </c>
      <c r="G397" s="10">
        <v>2982.45</v>
      </c>
      <c r="H397" s="10">
        <v>2069.0700000000002</v>
      </c>
      <c r="I397" s="10">
        <v>186402.68</v>
      </c>
      <c r="J397" s="62">
        <v>0.5</v>
      </c>
      <c r="L397" s="123" t="str">
        <f>E398</f>
        <v xml:space="preserve">GILDA </v>
      </c>
      <c r="M397" s="123" t="s">
        <v>24</v>
      </c>
      <c r="N397" s="124">
        <f>I398</f>
        <v>417381.38</v>
      </c>
      <c r="O397" s="125">
        <f>J398</f>
        <v>1</v>
      </c>
    </row>
    <row r="398" spans="1:15">
      <c r="A398" s="15" t="s">
        <v>186</v>
      </c>
      <c r="B398" s="25" t="s">
        <v>85</v>
      </c>
      <c r="C398" s="42">
        <v>708</v>
      </c>
      <c r="D398" s="9">
        <v>41402</v>
      </c>
      <c r="E398" s="12" t="s">
        <v>194</v>
      </c>
      <c r="F398" s="12" t="s">
        <v>27</v>
      </c>
      <c r="G398" s="10">
        <f>I398*2%</f>
        <v>8347.6275999999998</v>
      </c>
      <c r="H398" s="10">
        <v>0</v>
      </c>
      <c r="I398" s="10">
        <v>417381.38</v>
      </c>
      <c r="J398" s="62">
        <v>1</v>
      </c>
      <c r="L398" s="123" t="str">
        <f>E399</f>
        <v xml:space="preserve">GILDA </v>
      </c>
      <c r="M398" s="123" t="s">
        <v>25</v>
      </c>
      <c r="N398" s="124">
        <f>SUM(I399:I404)</f>
        <v>2167975.15</v>
      </c>
      <c r="O398" s="125">
        <f>SUM(J399:J404)</f>
        <v>4.5</v>
      </c>
    </row>
    <row r="399" spans="1:15">
      <c r="A399" s="15" t="s">
        <v>186</v>
      </c>
      <c r="B399" s="25" t="s">
        <v>85</v>
      </c>
      <c r="C399" s="42">
        <v>709</v>
      </c>
      <c r="D399" s="9">
        <v>41402</v>
      </c>
      <c r="E399" s="12" t="s">
        <v>194</v>
      </c>
      <c r="F399" s="12" t="s">
        <v>27</v>
      </c>
      <c r="G399" s="10">
        <f>I399*2%</f>
        <v>8347.6275999999998</v>
      </c>
      <c r="H399" s="10">
        <v>0</v>
      </c>
      <c r="I399" s="10">
        <v>417381.38</v>
      </c>
      <c r="J399" s="62">
        <v>1</v>
      </c>
      <c r="L399" s="11"/>
      <c r="M399" s="11"/>
      <c r="N399" s="124"/>
      <c r="O399" s="125"/>
    </row>
    <row r="400" spans="1:15">
      <c r="A400" s="15" t="s">
        <v>124</v>
      </c>
      <c r="B400" s="25" t="s">
        <v>85</v>
      </c>
      <c r="C400" s="42">
        <v>105</v>
      </c>
      <c r="D400" s="9">
        <v>41343</v>
      </c>
      <c r="E400" s="12" t="s">
        <v>77</v>
      </c>
      <c r="F400" s="12" t="s">
        <v>27</v>
      </c>
      <c r="G400" s="10">
        <v>10783.09</v>
      </c>
      <c r="H400" s="10"/>
      <c r="I400" s="10">
        <v>397899.91</v>
      </c>
      <c r="J400" s="62">
        <v>1</v>
      </c>
      <c r="L400" s="11"/>
      <c r="M400" s="11"/>
      <c r="N400" s="124"/>
      <c r="O400" s="125"/>
    </row>
    <row r="401" spans="1:15">
      <c r="A401" s="15" t="s">
        <v>120</v>
      </c>
      <c r="B401" s="25" t="s">
        <v>85</v>
      </c>
      <c r="C401" s="42">
        <v>92</v>
      </c>
      <c r="D401" s="9">
        <v>41414</v>
      </c>
      <c r="E401" s="12" t="s">
        <v>77</v>
      </c>
      <c r="F401" s="12" t="s">
        <v>27</v>
      </c>
      <c r="G401" s="10">
        <v>13177.08</v>
      </c>
      <c r="H401" s="10">
        <v>0</v>
      </c>
      <c r="I401" s="10">
        <v>625000</v>
      </c>
      <c r="J401" s="62">
        <v>1</v>
      </c>
      <c r="L401" s="11"/>
      <c r="M401" s="11"/>
      <c r="N401" s="124"/>
      <c r="O401" s="125"/>
    </row>
    <row r="402" spans="1:15">
      <c r="A402" s="15" t="s">
        <v>146</v>
      </c>
      <c r="B402" s="25" t="s">
        <v>85</v>
      </c>
      <c r="C402" s="42">
        <v>2112</v>
      </c>
      <c r="D402" s="9">
        <v>41434</v>
      </c>
      <c r="E402" s="12" t="s">
        <v>77</v>
      </c>
      <c r="F402" s="12" t="s">
        <v>27</v>
      </c>
      <c r="G402" s="10">
        <v>5450.3</v>
      </c>
      <c r="H402" s="10">
        <v>3783.19</v>
      </c>
      <c r="I402" s="10">
        <v>340643.86</v>
      </c>
      <c r="J402" s="62">
        <v>0.5</v>
      </c>
      <c r="L402" s="11"/>
      <c r="M402" s="11"/>
      <c r="N402" s="124"/>
      <c r="O402" s="125"/>
    </row>
    <row r="403" spans="1:15">
      <c r="A403" s="15" t="s">
        <v>145</v>
      </c>
      <c r="B403" s="25" t="s">
        <v>85</v>
      </c>
      <c r="C403" s="39">
        <v>1508</v>
      </c>
      <c r="D403" s="12">
        <v>41437</v>
      </c>
      <c r="E403" s="12" t="s">
        <v>77</v>
      </c>
      <c r="F403" s="12" t="s">
        <v>27</v>
      </c>
      <c r="G403" s="10">
        <v>3149.6</v>
      </c>
      <c r="H403" s="10">
        <v>0</v>
      </c>
      <c r="I403" s="10">
        <v>196850</v>
      </c>
      <c r="J403" s="62">
        <v>0.5</v>
      </c>
      <c r="L403" s="11"/>
      <c r="M403" s="11"/>
      <c r="N403" s="124"/>
      <c r="O403" s="125"/>
    </row>
    <row r="404" spans="1:15">
      <c r="A404" s="15" t="s">
        <v>145</v>
      </c>
      <c r="B404" s="25" t="s">
        <v>85</v>
      </c>
      <c r="C404" s="39">
        <v>508</v>
      </c>
      <c r="D404" s="12">
        <v>41437</v>
      </c>
      <c r="E404" s="12" t="s">
        <v>77</v>
      </c>
      <c r="F404" s="12" t="s">
        <v>27</v>
      </c>
      <c r="G404" s="10">
        <v>3043.2</v>
      </c>
      <c r="H404" s="10">
        <v>0</v>
      </c>
      <c r="I404" s="10">
        <v>190200</v>
      </c>
      <c r="J404" s="62">
        <v>0.5</v>
      </c>
      <c r="L404" s="123" t="str">
        <f>E405</f>
        <v>JONAS</v>
      </c>
      <c r="M404" s="123" t="s">
        <v>24</v>
      </c>
      <c r="N404" s="124">
        <f>SUM(I405:I407)</f>
        <v>847142.63</v>
      </c>
      <c r="O404" s="125">
        <f>SUM(J405:J407)</f>
        <v>1.5</v>
      </c>
    </row>
    <row r="405" spans="1:15">
      <c r="A405" s="15" t="s">
        <v>145</v>
      </c>
      <c r="B405" s="25" t="s">
        <v>85</v>
      </c>
      <c r="C405" s="42">
        <v>1605</v>
      </c>
      <c r="D405" s="9">
        <v>41413</v>
      </c>
      <c r="E405" s="12" t="s">
        <v>155</v>
      </c>
      <c r="F405" s="12" t="s">
        <v>27</v>
      </c>
      <c r="G405" s="10">
        <v>5198.3900000000003</v>
      </c>
      <c r="H405" s="10">
        <v>4307.1899999999996</v>
      </c>
      <c r="I405" s="10">
        <v>324899</v>
      </c>
      <c r="J405" s="62">
        <v>0.5</v>
      </c>
      <c r="L405" s="11"/>
      <c r="M405" s="11"/>
      <c r="N405" s="124"/>
      <c r="O405" s="125"/>
    </row>
    <row r="406" spans="1:15">
      <c r="A406" s="15" t="s">
        <v>145</v>
      </c>
      <c r="B406" s="25" t="s">
        <v>85</v>
      </c>
      <c r="C406" s="42">
        <v>1606</v>
      </c>
      <c r="D406" s="9">
        <v>41413</v>
      </c>
      <c r="E406" s="12" t="s">
        <v>155</v>
      </c>
      <c r="F406" s="12" t="s">
        <v>27</v>
      </c>
      <c r="G406" s="10">
        <v>2958.41</v>
      </c>
      <c r="H406" s="10">
        <v>0</v>
      </c>
      <c r="I406" s="10">
        <v>184900.5</v>
      </c>
      <c r="J406" s="62">
        <v>0.5</v>
      </c>
      <c r="L406" s="11"/>
      <c r="M406" s="11"/>
      <c r="N406" s="124"/>
      <c r="O406" s="125"/>
    </row>
    <row r="407" spans="1:15">
      <c r="A407" s="15" t="s">
        <v>145</v>
      </c>
      <c r="B407" s="25" t="s">
        <v>85</v>
      </c>
      <c r="C407" s="39">
        <v>1612</v>
      </c>
      <c r="D407" s="9">
        <v>41413</v>
      </c>
      <c r="E407" s="12" t="s">
        <v>155</v>
      </c>
      <c r="F407" s="12" t="s">
        <v>27</v>
      </c>
      <c r="G407" s="10">
        <v>5397.49</v>
      </c>
      <c r="H407" s="10">
        <v>3744.51</v>
      </c>
      <c r="I407" s="10">
        <v>337343.13</v>
      </c>
      <c r="J407" s="62">
        <v>0.5</v>
      </c>
      <c r="L407" s="123" t="str">
        <f>E408</f>
        <v>JONAS</v>
      </c>
      <c r="M407" s="123" t="s">
        <v>26</v>
      </c>
      <c r="N407" s="124">
        <f>SUM(I408:I411)</f>
        <v>1330966.95</v>
      </c>
      <c r="O407" s="125">
        <f>SUM(J408:J411)</f>
        <v>3.5</v>
      </c>
    </row>
    <row r="408" spans="1:15">
      <c r="A408" s="15" t="s">
        <v>145</v>
      </c>
      <c r="B408" s="25" t="s">
        <v>85</v>
      </c>
      <c r="C408" s="42">
        <v>1714</v>
      </c>
      <c r="D408" s="9">
        <v>41418</v>
      </c>
      <c r="E408" s="12" t="s">
        <v>155</v>
      </c>
      <c r="F408" s="12" t="s">
        <v>27</v>
      </c>
      <c r="G408" s="10">
        <v>3198.83</v>
      </c>
      <c r="H408" s="10">
        <v>2219.19</v>
      </c>
      <c r="I408" s="10">
        <v>199926.68</v>
      </c>
      <c r="J408" s="62">
        <v>0.5</v>
      </c>
      <c r="L408" s="11"/>
      <c r="M408" s="11"/>
      <c r="N408" s="124"/>
      <c r="O408" s="125"/>
    </row>
    <row r="409" spans="1:15">
      <c r="A409" s="15" t="s">
        <v>124</v>
      </c>
      <c r="B409" s="25" t="s">
        <v>85</v>
      </c>
      <c r="C409" s="42" t="s">
        <v>232</v>
      </c>
      <c r="D409" s="9">
        <v>41343</v>
      </c>
      <c r="E409" s="12" t="s">
        <v>155</v>
      </c>
      <c r="F409" s="12" t="s">
        <v>27</v>
      </c>
      <c r="G409" s="10">
        <v>24038.720000000001</v>
      </c>
      <c r="H409" s="10"/>
      <c r="I409" s="10">
        <v>887037.54</v>
      </c>
      <c r="J409" s="62">
        <v>2</v>
      </c>
      <c r="L409" s="11"/>
      <c r="M409" s="11"/>
      <c r="N409" s="124"/>
      <c r="O409" s="125"/>
    </row>
    <row r="410" spans="1:15">
      <c r="A410" s="15" t="s">
        <v>195</v>
      </c>
      <c r="B410" s="25" t="s">
        <v>220</v>
      </c>
      <c r="C410" s="42">
        <v>46</v>
      </c>
      <c r="D410" s="9">
        <v>41315</v>
      </c>
      <c r="E410" s="12" t="s">
        <v>42</v>
      </c>
      <c r="F410" s="12" t="s">
        <v>27</v>
      </c>
      <c r="G410" s="10">
        <v>2480</v>
      </c>
      <c r="H410" s="10">
        <f>2747.84-G410</f>
        <v>267.84000000000015</v>
      </c>
      <c r="I410" s="10">
        <v>124000</v>
      </c>
      <c r="J410" s="34">
        <v>0.5</v>
      </c>
      <c r="L410" s="11"/>
      <c r="M410" s="11"/>
      <c r="N410" s="124"/>
      <c r="O410" s="125"/>
    </row>
    <row r="411" spans="1:15">
      <c r="A411" s="15" t="s">
        <v>209</v>
      </c>
      <c r="B411" s="25" t="s">
        <v>220</v>
      </c>
      <c r="C411" s="39">
        <v>55</v>
      </c>
      <c r="D411" s="9">
        <v>41356</v>
      </c>
      <c r="E411" s="12" t="s">
        <v>42</v>
      </c>
      <c r="F411" s="12" t="s">
        <v>27</v>
      </c>
      <c r="G411" s="10">
        <v>4416.1000000000004</v>
      </c>
      <c r="H411" s="10"/>
      <c r="I411" s="10">
        <v>120002.73</v>
      </c>
      <c r="J411" s="62">
        <v>0.5</v>
      </c>
      <c r="L411" s="123" t="str">
        <f>E412</f>
        <v>KHAL</v>
      </c>
      <c r="M411" s="123" t="s">
        <v>24</v>
      </c>
      <c r="N411" s="124">
        <f>I412</f>
        <v>430848.08</v>
      </c>
      <c r="O411" s="125">
        <f>J412</f>
        <v>1</v>
      </c>
    </row>
    <row r="412" spans="1:15">
      <c r="A412" s="15" t="s">
        <v>124</v>
      </c>
      <c r="B412" s="25" t="s">
        <v>85</v>
      </c>
      <c r="C412" s="42" t="s">
        <v>222</v>
      </c>
      <c r="D412" s="9">
        <v>41343</v>
      </c>
      <c r="E412" s="12" t="s">
        <v>42</v>
      </c>
      <c r="F412" s="12" t="s">
        <v>27</v>
      </c>
      <c r="G412" s="10">
        <v>11675.98</v>
      </c>
      <c r="H412" s="10"/>
      <c r="I412" s="10">
        <v>430848.08</v>
      </c>
      <c r="J412" s="62">
        <v>1</v>
      </c>
      <c r="L412" s="123" t="str">
        <f>E413</f>
        <v>KHAL</v>
      </c>
      <c r="M412" s="123" t="s">
        <v>24</v>
      </c>
      <c r="N412" s="124">
        <f>SUM(I413:I414)</f>
        <v>416556.75</v>
      </c>
      <c r="O412" s="125">
        <f>SUM(J413:J414)</f>
        <v>1</v>
      </c>
    </row>
    <row r="413" spans="1:15">
      <c r="A413" s="15" t="s">
        <v>145</v>
      </c>
      <c r="B413" s="25" t="s">
        <v>85</v>
      </c>
      <c r="C413" s="39">
        <v>411</v>
      </c>
      <c r="D413" s="9">
        <v>41414</v>
      </c>
      <c r="E413" s="12" t="s">
        <v>42</v>
      </c>
      <c r="F413" s="12" t="s">
        <v>27</v>
      </c>
      <c r="G413" s="10">
        <v>2982.45</v>
      </c>
      <c r="H413" s="10">
        <v>2069.0700000000002</v>
      </c>
      <c r="I413" s="10">
        <v>186402.68</v>
      </c>
      <c r="J413" s="62">
        <v>0.5</v>
      </c>
      <c r="L413" s="11"/>
      <c r="M413" s="11"/>
      <c r="N413" s="124"/>
      <c r="O413" s="125"/>
    </row>
    <row r="414" spans="1:15">
      <c r="A414" s="15" t="s">
        <v>145</v>
      </c>
      <c r="B414" s="25" t="s">
        <v>85</v>
      </c>
      <c r="C414" s="39">
        <v>904</v>
      </c>
      <c r="D414" s="9">
        <v>41413</v>
      </c>
      <c r="E414" s="12" t="s">
        <v>42</v>
      </c>
      <c r="F414" s="12" t="s">
        <v>27</v>
      </c>
      <c r="G414" s="10">
        <v>3682.47</v>
      </c>
      <c r="H414" s="10">
        <v>2554.71</v>
      </c>
      <c r="I414" s="10">
        <v>230154.07</v>
      </c>
      <c r="J414" s="62">
        <v>0.5</v>
      </c>
      <c r="L414" s="123" t="str">
        <f>E415</f>
        <v>KHAL</v>
      </c>
      <c r="M414" s="123" t="s">
        <v>25</v>
      </c>
      <c r="N414" s="124">
        <f>SUM(I415:I419)</f>
        <v>1031021.77</v>
      </c>
      <c r="O414" s="125">
        <f>SUM(J415:J419)</f>
        <v>4</v>
      </c>
    </row>
    <row r="415" spans="1:15">
      <c r="A415" s="15" t="s">
        <v>145</v>
      </c>
      <c r="B415" s="25" t="s">
        <v>85</v>
      </c>
      <c r="C415" s="39">
        <v>1015</v>
      </c>
      <c r="D415" s="9">
        <v>41413</v>
      </c>
      <c r="E415" s="12" t="s">
        <v>42</v>
      </c>
      <c r="F415" s="12" t="s">
        <v>27</v>
      </c>
      <c r="G415" s="10">
        <v>2866.22</v>
      </c>
      <c r="H415" s="10">
        <v>1988.44</v>
      </c>
      <c r="I415" s="10">
        <v>179138.76</v>
      </c>
      <c r="J415" s="62">
        <v>0.5</v>
      </c>
      <c r="L415" s="11"/>
      <c r="M415" s="11"/>
      <c r="N415" s="124"/>
      <c r="O415" s="125"/>
    </row>
    <row r="416" spans="1:15">
      <c r="A416" s="15" t="s">
        <v>145</v>
      </c>
      <c r="B416" s="25" t="s">
        <v>85</v>
      </c>
      <c r="C416" s="39">
        <v>1314</v>
      </c>
      <c r="D416" s="9">
        <v>41413</v>
      </c>
      <c r="E416" s="12" t="s">
        <v>42</v>
      </c>
      <c r="F416" s="12" t="s">
        <v>27</v>
      </c>
      <c r="G416" s="10">
        <v>2910.13</v>
      </c>
      <c r="H416" s="10">
        <v>2018.9</v>
      </c>
      <c r="I416" s="10">
        <v>181883.01</v>
      </c>
      <c r="J416" s="62">
        <v>0.5</v>
      </c>
      <c r="L416" s="11"/>
      <c r="M416" s="11"/>
      <c r="N416" s="124"/>
      <c r="O416" s="125"/>
    </row>
    <row r="417" spans="1:15">
      <c r="A417" s="15" t="s">
        <v>116</v>
      </c>
      <c r="B417" s="25" t="s">
        <v>136</v>
      </c>
      <c r="C417" s="39">
        <v>22</v>
      </c>
      <c r="D417" s="9">
        <v>41280</v>
      </c>
      <c r="E417" s="12" t="s">
        <v>19</v>
      </c>
      <c r="F417" s="12" t="s">
        <v>27</v>
      </c>
      <c r="G417" s="10">
        <v>4440</v>
      </c>
      <c r="H417" s="10">
        <f>4440-G417</f>
        <v>0</v>
      </c>
      <c r="I417" s="10">
        <v>222000</v>
      </c>
      <c r="J417" s="34">
        <v>1</v>
      </c>
      <c r="L417" s="11"/>
      <c r="M417" s="11"/>
      <c r="N417" s="124"/>
      <c r="O417" s="125"/>
    </row>
    <row r="418" spans="1:15">
      <c r="A418" s="15" t="s">
        <v>116</v>
      </c>
      <c r="B418" s="25" t="s">
        <v>117</v>
      </c>
      <c r="C418" s="39">
        <v>174</v>
      </c>
      <c r="D418" s="9">
        <v>41293</v>
      </c>
      <c r="E418" s="12" t="s">
        <v>19</v>
      </c>
      <c r="F418" s="12" t="s">
        <v>27</v>
      </c>
      <c r="G418" s="10">
        <v>4040</v>
      </c>
      <c r="H418" s="10">
        <f>4040-G418</f>
        <v>0</v>
      </c>
      <c r="I418" s="10">
        <v>202000</v>
      </c>
      <c r="J418" s="34">
        <v>1</v>
      </c>
      <c r="L418" s="11"/>
      <c r="M418" s="11"/>
      <c r="N418" s="124"/>
      <c r="O418" s="125"/>
    </row>
    <row r="419" spans="1:15">
      <c r="A419" s="15" t="s">
        <v>195</v>
      </c>
      <c r="B419" s="25" t="s">
        <v>117</v>
      </c>
      <c r="C419" s="39">
        <v>105</v>
      </c>
      <c r="D419" s="12">
        <v>41309</v>
      </c>
      <c r="E419" s="12" t="s">
        <v>19</v>
      </c>
      <c r="F419" s="12" t="s">
        <v>27</v>
      </c>
      <c r="G419" s="10">
        <v>4920</v>
      </c>
      <c r="H419" s="10">
        <v>0</v>
      </c>
      <c r="I419" s="10">
        <v>246000</v>
      </c>
      <c r="J419" s="34">
        <v>1</v>
      </c>
      <c r="L419" s="123" t="str">
        <f>E420</f>
        <v>MAGAL</v>
      </c>
      <c r="M419" s="123" t="s">
        <v>61</v>
      </c>
      <c r="N419" s="124">
        <f>SUM(I420:I423)</f>
        <v>879000</v>
      </c>
      <c r="O419" s="125">
        <f>SUM(J420:J423)</f>
        <v>4</v>
      </c>
    </row>
    <row r="420" spans="1:15">
      <c r="A420" s="15" t="s">
        <v>195</v>
      </c>
      <c r="B420" s="25" t="s">
        <v>220</v>
      </c>
      <c r="C420" s="39">
        <v>108</v>
      </c>
      <c r="D420" s="12">
        <v>41329</v>
      </c>
      <c r="E420" s="12" t="s">
        <v>19</v>
      </c>
      <c r="F420" s="12" t="s">
        <v>27</v>
      </c>
      <c r="G420" s="10">
        <f>I420*2%</f>
        <v>4180</v>
      </c>
      <c r="H420" s="10">
        <f>7691.2-G420</f>
        <v>3511.2</v>
      </c>
      <c r="I420" s="10">
        <v>209000</v>
      </c>
      <c r="J420" s="34">
        <v>1</v>
      </c>
      <c r="L420" s="11"/>
      <c r="M420" s="11"/>
      <c r="N420" s="124"/>
      <c r="O420" s="125"/>
    </row>
    <row r="421" spans="1:15">
      <c r="A421" s="15" t="s">
        <v>219</v>
      </c>
      <c r="B421" s="25" t="s">
        <v>211</v>
      </c>
      <c r="C421" s="39">
        <v>26</v>
      </c>
      <c r="D421" s="9">
        <v>41347</v>
      </c>
      <c r="E421" s="12" t="s">
        <v>19</v>
      </c>
      <c r="F421" s="12" t="s">
        <v>27</v>
      </c>
      <c r="G421" s="10">
        <f>I421*2%</f>
        <v>4200</v>
      </c>
      <c r="H421" s="10"/>
      <c r="I421" s="10">
        <v>210000</v>
      </c>
      <c r="J421" s="34">
        <v>1</v>
      </c>
      <c r="L421" s="11"/>
      <c r="M421" s="11"/>
      <c r="N421" s="124"/>
      <c r="O421" s="125"/>
    </row>
    <row r="422" spans="1:15">
      <c r="A422" s="15" t="s">
        <v>219</v>
      </c>
      <c r="B422" s="25" t="s">
        <v>211</v>
      </c>
      <c r="C422" s="39">
        <v>92</v>
      </c>
      <c r="D422" s="9">
        <v>41350</v>
      </c>
      <c r="E422" s="12" t="s">
        <v>19</v>
      </c>
      <c r="F422" s="12" t="s">
        <v>27</v>
      </c>
      <c r="G422" s="10">
        <f>I422*2%</f>
        <v>4800</v>
      </c>
      <c r="H422" s="10"/>
      <c r="I422" s="10">
        <v>240000</v>
      </c>
      <c r="J422" s="34">
        <v>1</v>
      </c>
      <c r="L422" s="11"/>
      <c r="M422" s="11"/>
      <c r="N422" s="124"/>
      <c r="O422" s="125"/>
    </row>
    <row r="423" spans="1:15">
      <c r="A423" s="15" t="s">
        <v>204</v>
      </c>
      <c r="B423" s="25" t="s">
        <v>82</v>
      </c>
      <c r="C423" s="42">
        <v>125</v>
      </c>
      <c r="D423" s="9">
        <v>41378</v>
      </c>
      <c r="E423" s="12" t="s">
        <v>19</v>
      </c>
      <c r="F423" s="12" t="s">
        <v>27</v>
      </c>
      <c r="G423" s="10">
        <f>I423*2%</f>
        <v>4400</v>
      </c>
      <c r="H423" s="10"/>
      <c r="I423" s="10">
        <v>220000</v>
      </c>
      <c r="J423" s="62">
        <v>1</v>
      </c>
      <c r="L423" s="123" t="str">
        <f>E424</f>
        <v>MAGAL</v>
      </c>
      <c r="M423" s="123" t="s">
        <v>79</v>
      </c>
      <c r="N423" s="124">
        <f>I424</f>
        <v>235174.15</v>
      </c>
      <c r="O423" s="125">
        <f>J424</f>
        <v>1</v>
      </c>
    </row>
    <row r="424" spans="1:15">
      <c r="A424" s="15" t="s">
        <v>209</v>
      </c>
      <c r="B424" s="25" t="s">
        <v>210</v>
      </c>
      <c r="C424" s="42">
        <v>55</v>
      </c>
      <c r="D424" s="9">
        <v>41394</v>
      </c>
      <c r="E424" s="12" t="s">
        <v>19</v>
      </c>
      <c r="F424" s="12" t="s">
        <v>27</v>
      </c>
      <c r="G424" s="10">
        <f>I424*2%</f>
        <v>4703.4830000000002</v>
      </c>
      <c r="H424" s="10"/>
      <c r="I424" s="10">
        <v>235174.15</v>
      </c>
      <c r="J424" s="62">
        <v>1</v>
      </c>
      <c r="L424" s="123" t="str">
        <f>E425</f>
        <v>MAGAL</v>
      </c>
      <c r="M424" s="123" t="s">
        <v>24</v>
      </c>
      <c r="N424" s="124">
        <f>SUM(I425:I428)</f>
        <v>2331398</v>
      </c>
      <c r="O424" s="125">
        <f>SUM(J425:J428)</f>
        <v>4</v>
      </c>
    </row>
    <row r="425" spans="1:15">
      <c r="A425" s="15" t="s">
        <v>270</v>
      </c>
      <c r="B425" s="25" t="s">
        <v>272</v>
      </c>
      <c r="C425" s="42">
        <v>23</v>
      </c>
      <c r="D425" s="9">
        <v>41455</v>
      </c>
      <c r="E425" s="42" t="s">
        <v>19</v>
      </c>
      <c r="F425" s="12" t="s">
        <v>27</v>
      </c>
      <c r="G425" s="10">
        <v>0</v>
      </c>
      <c r="H425" s="10">
        <v>0</v>
      </c>
      <c r="I425" s="10">
        <v>604850</v>
      </c>
      <c r="J425" s="62">
        <v>1</v>
      </c>
      <c r="L425" s="11"/>
      <c r="M425" s="11"/>
      <c r="N425" s="124"/>
      <c r="O425" s="125"/>
    </row>
    <row r="426" spans="1:15">
      <c r="A426" s="15" t="s">
        <v>53</v>
      </c>
      <c r="B426" s="25" t="s">
        <v>85</v>
      </c>
      <c r="C426" s="39">
        <v>53</v>
      </c>
      <c r="D426" s="9">
        <v>41356</v>
      </c>
      <c r="E426" s="12" t="s">
        <v>235</v>
      </c>
      <c r="F426" s="12" t="s">
        <v>27</v>
      </c>
      <c r="G426" s="10">
        <v>18943.79</v>
      </c>
      <c r="H426" s="10"/>
      <c r="I426" s="10">
        <v>699033</v>
      </c>
      <c r="J426" s="62">
        <v>1</v>
      </c>
      <c r="L426" s="11"/>
      <c r="M426" s="11"/>
      <c r="N426" s="124"/>
      <c r="O426" s="125"/>
    </row>
    <row r="427" spans="1:15">
      <c r="A427" s="15" t="s">
        <v>120</v>
      </c>
      <c r="B427" s="25" t="s">
        <v>113</v>
      </c>
      <c r="C427" s="39">
        <v>36</v>
      </c>
      <c r="D427" s="9">
        <v>41332</v>
      </c>
      <c r="E427" s="12" t="s">
        <v>235</v>
      </c>
      <c r="F427" s="12" t="s">
        <v>27</v>
      </c>
      <c r="G427" s="10">
        <f>I427*1.6%</f>
        <v>10296</v>
      </c>
      <c r="H427" s="10">
        <f>17438.85-G427</f>
        <v>7142.8499999999985</v>
      </c>
      <c r="I427" s="10">
        <v>643500</v>
      </c>
      <c r="J427" s="34">
        <v>1</v>
      </c>
      <c r="L427" s="11"/>
      <c r="M427" s="11"/>
      <c r="N427" s="124"/>
      <c r="O427" s="125"/>
    </row>
    <row r="428" spans="1:15">
      <c r="A428" s="15" t="s">
        <v>270</v>
      </c>
      <c r="B428" s="25" t="s">
        <v>273</v>
      </c>
      <c r="C428" s="39">
        <v>51</v>
      </c>
      <c r="D428" s="9">
        <v>41455</v>
      </c>
      <c r="E428" s="12" t="s">
        <v>275</v>
      </c>
      <c r="F428" s="12" t="s">
        <v>27</v>
      </c>
      <c r="G428" s="10">
        <v>6144.24</v>
      </c>
      <c r="H428" s="10">
        <v>2119.7600000000002</v>
      </c>
      <c r="I428" s="10">
        <v>384015</v>
      </c>
      <c r="J428" s="62">
        <v>1</v>
      </c>
      <c r="L428" s="123" t="str">
        <f>E429</f>
        <v>PATRICIA</v>
      </c>
      <c r="M428" s="123" t="s">
        <v>26</v>
      </c>
      <c r="N428" s="124">
        <f>SUM(I429:I430)</f>
        <v>1049196</v>
      </c>
      <c r="O428" s="125">
        <f>SUM(J429:J430)</f>
        <v>2</v>
      </c>
    </row>
    <row r="429" spans="1:15">
      <c r="A429" s="15" t="s">
        <v>124</v>
      </c>
      <c r="B429" s="25" t="s">
        <v>85</v>
      </c>
      <c r="C429" s="42">
        <v>610</v>
      </c>
      <c r="D429" s="9">
        <v>41343</v>
      </c>
      <c r="E429" s="12" t="s">
        <v>237</v>
      </c>
      <c r="F429" s="12" t="s">
        <v>27</v>
      </c>
      <c r="G429" s="10">
        <v>10564.39</v>
      </c>
      <c r="H429" s="10"/>
      <c r="I429" s="10">
        <v>389830</v>
      </c>
      <c r="J429" s="62">
        <v>1</v>
      </c>
      <c r="L429" s="11"/>
      <c r="M429" s="11"/>
      <c r="N429" s="124"/>
      <c r="O429" s="125"/>
    </row>
    <row r="430" spans="1:15">
      <c r="A430" s="15" t="s">
        <v>145</v>
      </c>
      <c r="B430" s="25" t="s">
        <v>85</v>
      </c>
      <c r="C430" s="39">
        <v>1305</v>
      </c>
      <c r="D430" s="9">
        <v>41413</v>
      </c>
      <c r="E430" s="12" t="s">
        <v>237</v>
      </c>
      <c r="F430" s="12" t="s">
        <v>27</v>
      </c>
      <c r="G430" s="10">
        <v>10549.86</v>
      </c>
      <c r="H430" s="10">
        <v>0</v>
      </c>
      <c r="I430" s="10">
        <v>659366</v>
      </c>
      <c r="J430" s="62">
        <v>1</v>
      </c>
      <c r="L430" s="123" t="str">
        <f>E431</f>
        <v>PATRICIA</v>
      </c>
      <c r="M430" s="123" t="s">
        <v>23</v>
      </c>
      <c r="N430" s="124">
        <f>I431</f>
        <v>401788.53</v>
      </c>
      <c r="O430" s="125">
        <f>J431</f>
        <v>1</v>
      </c>
    </row>
    <row r="431" spans="1:15">
      <c r="A431" s="15" t="s">
        <v>146</v>
      </c>
      <c r="B431" s="25" t="s">
        <v>85</v>
      </c>
      <c r="C431" s="39">
        <v>1906</v>
      </c>
      <c r="D431" s="9">
        <v>41398</v>
      </c>
      <c r="E431" s="12" t="s">
        <v>237</v>
      </c>
      <c r="F431" s="12" t="s">
        <v>27</v>
      </c>
      <c r="G431" s="10">
        <v>6428.62</v>
      </c>
      <c r="H431" s="10">
        <v>4459.8500000000004</v>
      </c>
      <c r="I431" s="10">
        <v>401788.53</v>
      </c>
      <c r="J431" s="62">
        <v>1</v>
      </c>
      <c r="L431" s="123" t="str">
        <f>E432</f>
        <v>PATRICIA</v>
      </c>
      <c r="M431" s="123" t="s">
        <v>61</v>
      </c>
      <c r="N431" s="124">
        <f>SUM(I432:I434)</f>
        <v>892520.03</v>
      </c>
      <c r="O431" s="125">
        <f>SUM(J432:J434)</f>
        <v>2</v>
      </c>
    </row>
    <row r="432" spans="1:15">
      <c r="A432" s="15" t="s">
        <v>270</v>
      </c>
      <c r="B432" s="25" t="s">
        <v>271</v>
      </c>
      <c r="C432" s="39">
        <v>2</v>
      </c>
      <c r="D432" s="9">
        <v>41455</v>
      </c>
      <c r="E432" s="12" t="s">
        <v>237</v>
      </c>
      <c r="F432" s="12" t="s">
        <v>27</v>
      </c>
      <c r="G432" s="10">
        <v>3894.8</v>
      </c>
      <c r="H432" s="10">
        <v>1971.74</v>
      </c>
      <c r="I432" s="10">
        <v>243425</v>
      </c>
      <c r="J432" s="34">
        <v>0.5</v>
      </c>
      <c r="L432" s="11"/>
      <c r="M432" s="11"/>
      <c r="N432" s="124"/>
      <c r="O432" s="125"/>
    </row>
    <row r="433" spans="1:15">
      <c r="A433" s="15" t="s">
        <v>208</v>
      </c>
      <c r="B433" s="25" t="s">
        <v>226</v>
      </c>
      <c r="C433" s="39">
        <v>138</v>
      </c>
      <c r="D433" s="9">
        <v>41357</v>
      </c>
      <c r="E433" s="12" t="s">
        <v>239</v>
      </c>
      <c r="F433" s="12" t="s">
        <v>27</v>
      </c>
      <c r="G433" s="10">
        <v>3810.94</v>
      </c>
      <c r="H433" s="10"/>
      <c r="I433" s="10">
        <v>122538.28</v>
      </c>
      <c r="J433" s="62">
        <v>0.5</v>
      </c>
      <c r="L433" s="11"/>
      <c r="M433" s="11"/>
      <c r="N433" s="124"/>
      <c r="O433" s="125"/>
    </row>
    <row r="434" spans="1:15">
      <c r="A434" s="15" t="s">
        <v>145</v>
      </c>
      <c r="B434" s="25" t="s">
        <v>85</v>
      </c>
      <c r="C434" s="39">
        <v>2113</v>
      </c>
      <c r="D434" s="9">
        <v>41413</v>
      </c>
      <c r="E434" s="12" t="s">
        <v>239</v>
      </c>
      <c r="F434" s="12" t="s">
        <v>27</v>
      </c>
      <c r="G434" s="10">
        <v>8424.91</v>
      </c>
      <c r="H434" s="10">
        <v>5844.78</v>
      </c>
      <c r="I434" s="10">
        <v>526556.75</v>
      </c>
      <c r="J434" s="62">
        <v>1</v>
      </c>
      <c r="L434" s="123" t="str">
        <f>E435</f>
        <v>SYLMARA</v>
      </c>
      <c r="M434" s="123" t="s">
        <v>25</v>
      </c>
      <c r="N434" s="124">
        <f>SUM(I435:I436)</f>
        <v>374700</v>
      </c>
      <c r="O434" s="125">
        <f>SUM(J435:J436)</f>
        <v>1</v>
      </c>
    </row>
    <row r="435" spans="1:15">
      <c r="A435" s="15" t="s">
        <v>270</v>
      </c>
      <c r="B435" s="25" t="s">
        <v>271</v>
      </c>
      <c r="C435" s="42">
        <v>25</v>
      </c>
      <c r="D435" s="9">
        <v>41455</v>
      </c>
      <c r="E435" s="42" t="s">
        <v>239</v>
      </c>
      <c r="F435" s="12" t="s">
        <v>27</v>
      </c>
      <c r="G435" s="10">
        <v>5995.2</v>
      </c>
      <c r="H435" s="10">
        <v>3035.07</v>
      </c>
      <c r="I435" s="10">
        <v>374700</v>
      </c>
      <c r="J435" s="62">
        <v>1</v>
      </c>
      <c r="L435" s="11"/>
      <c r="M435" s="11"/>
      <c r="N435" s="124"/>
      <c r="O435" s="125"/>
    </row>
    <row r="436" spans="1:15">
      <c r="A436" s="15" t="s">
        <v>320</v>
      </c>
      <c r="B436" s="25" t="s">
        <v>320</v>
      </c>
      <c r="C436" s="42" t="s">
        <v>320</v>
      </c>
      <c r="D436" s="9">
        <v>41275</v>
      </c>
      <c r="E436" s="12" t="s">
        <v>320</v>
      </c>
      <c r="F436" s="12" t="s">
        <v>319</v>
      </c>
      <c r="G436" s="10">
        <v>0</v>
      </c>
      <c r="H436" s="10">
        <v>0</v>
      </c>
      <c r="I436" s="10">
        <v>0</v>
      </c>
      <c r="J436" s="62">
        <v>0</v>
      </c>
      <c r="L436" s="103" t="s">
        <v>12</v>
      </c>
      <c r="M436" s="103"/>
      <c r="N436" s="30">
        <f>SUM(N2:N434)</f>
        <v>177345874.12999991</v>
      </c>
      <c r="O436" s="139">
        <f>SUM(O2:O434)</f>
        <v>377</v>
      </c>
    </row>
    <row r="438" spans="1:15">
      <c r="I438" s="91">
        <f>SUM(I2:I436)</f>
        <v>177822123.3899999</v>
      </c>
      <c r="J438" s="140">
        <f>SUM(J2:J436)</f>
        <v>379.5</v>
      </c>
    </row>
  </sheetData>
  <autoFilter ref="A1:J436"/>
  <mergeCells count="1">
    <mergeCell ref="L17:O17"/>
  </mergeCells>
  <pageMargins left="0.51181102362204722" right="0.51181102362204722" top="0.78740157480314965" bottom="0.78740157480314965" header="0.31496062992125984" footer="0.31496062992125984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C5" sqref="C5"/>
    </sheetView>
  </sheetViews>
  <sheetFormatPr defaultRowHeight="14.4"/>
  <cols>
    <col min="1" max="1" width="32" bestFit="1" customWidth="1"/>
    <col min="2" max="2" width="32" style="7" customWidth="1"/>
  </cols>
  <sheetData>
    <row r="1" s="7" customFormat="1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1"/>
  <sheetViews>
    <sheetView workbookViewId="0">
      <selection activeCell="D45" sqref="D45"/>
    </sheetView>
  </sheetViews>
  <sheetFormatPr defaultRowHeight="14.4"/>
  <cols>
    <col min="1" max="1" width="28.6640625" bestFit="1" customWidth="1"/>
    <col min="2" max="2" width="25" bestFit="1" customWidth="1"/>
    <col min="5" max="5" width="10.109375" bestFit="1" customWidth="1"/>
  </cols>
  <sheetData>
    <row r="1" spans="1:5" s="155" customFormat="1">
      <c r="A1" s="155" t="s">
        <v>11</v>
      </c>
      <c r="B1" s="155" t="s">
        <v>10</v>
      </c>
      <c r="C1" s="155" t="s">
        <v>382</v>
      </c>
      <c r="D1" s="155" t="s">
        <v>383</v>
      </c>
      <c r="E1" s="155" t="s">
        <v>384</v>
      </c>
    </row>
    <row r="2" spans="1:5" hidden="1">
      <c r="A2" s="158" t="s">
        <v>380</v>
      </c>
      <c r="B2" s="162" t="s">
        <v>376</v>
      </c>
      <c r="C2" s="162">
        <v>16</v>
      </c>
      <c r="D2" s="158" t="s">
        <v>378</v>
      </c>
      <c r="E2" s="159">
        <v>452144.63</v>
      </c>
    </row>
    <row r="3" spans="1:5" hidden="1">
      <c r="A3" s="158" t="s">
        <v>380</v>
      </c>
      <c r="B3" s="162" t="s">
        <v>376</v>
      </c>
      <c r="C3" s="162">
        <v>25</v>
      </c>
      <c r="D3" s="158" t="s">
        <v>378</v>
      </c>
      <c r="E3" s="159">
        <v>440000</v>
      </c>
    </row>
    <row r="4" spans="1:5" hidden="1">
      <c r="A4" s="158" t="s">
        <v>380</v>
      </c>
      <c r="B4" s="162" t="s">
        <v>376</v>
      </c>
      <c r="C4" s="162">
        <v>34</v>
      </c>
      <c r="D4" s="158" t="s">
        <v>378</v>
      </c>
      <c r="E4" s="159">
        <v>478100</v>
      </c>
    </row>
    <row r="5" spans="1:5">
      <c r="A5" s="158" t="s">
        <v>380</v>
      </c>
      <c r="B5" s="162" t="s">
        <v>376</v>
      </c>
      <c r="C5" s="162">
        <v>36</v>
      </c>
      <c r="D5" s="158" t="s">
        <v>377</v>
      </c>
      <c r="E5" s="159">
        <v>443431</v>
      </c>
    </row>
    <row r="6" spans="1:5" hidden="1">
      <c r="A6" s="158" t="s">
        <v>380</v>
      </c>
      <c r="B6" s="162" t="s">
        <v>376</v>
      </c>
      <c r="C6" s="162">
        <v>51</v>
      </c>
      <c r="D6" s="158" t="s">
        <v>379</v>
      </c>
      <c r="E6" s="159">
        <v>588000</v>
      </c>
    </row>
    <row r="7" spans="1:5" hidden="1">
      <c r="A7" s="158" t="s">
        <v>380</v>
      </c>
      <c r="B7" s="162" t="s">
        <v>376</v>
      </c>
      <c r="C7" s="162">
        <v>52</v>
      </c>
      <c r="D7" s="158" t="s">
        <v>378</v>
      </c>
      <c r="E7" s="159">
        <v>638003</v>
      </c>
    </row>
    <row r="8" spans="1:5" hidden="1">
      <c r="A8" s="158" t="s">
        <v>380</v>
      </c>
      <c r="B8" s="162" t="s">
        <v>376</v>
      </c>
      <c r="C8" s="162">
        <v>56</v>
      </c>
      <c r="D8" s="158" t="s">
        <v>378</v>
      </c>
      <c r="E8" s="159">
        <v>454900</v>
      </c>
    </row>
    <row r="9" spans="1:5">
      <c r="A9" s="158" t="s">
        <v>380</v>
      </c>
      <c r="B9" s="162" t="s">
        <v>376</v>
      </c>
      <c r="C9" s="162">
        <v>72</v>
      </c>
      <c r="D9" s="158" t="s">
        <v>377</v>
      </c>
      <c r="E9" s="159">
        <v>621036.80000000005</v>
      </c>
    </row>
    <row r="10" spans="1:5">
      <c r="A10" s="158" t="s">
        <v>380</v>
      </c>
      <c r="B10" s="162" t="s">
        <v>376</v>
      </c>
      <c r="C10" s="162">
        <v>74</v>
      </c>
      <c r="D10" s="158" t="s">
        <v>377</v>
      </c>
      <c r="E10" s="159">
        <v>487273.06</v>
      </c>
    </row>
    <row r="11" spans="1:5" hidden="1">
      <c r="A11" s="158" t="s">
        <v>380</v>
      </c>
      <c r="B11" s="162" t="s">
        <v>376</v>
      </c>
      <c r="C11" s="162">
        <v>82</v>
      </c>
      <c r="D11" s="158" t="s">
        <v>379</v>
      </c>
      <c r="E11" s="159">
        <v>655663.81999999995</v>
      </c>
    </row>
    <row r="12" spans="1:5" hidden="1">
      <c r="A12" s="158" t="s">
        <v>380</v>
      </c>
      <c r="B12" s="162" t="s">
        <v>376</v>
      </c>
      <c r="C12" s="162">
        <v>95</v>
      </c>
      <c r="D12" s="158" t="s">
        <v>379</v>
      </c>
      <c r="E12" s="159">
        <v>478253</v>
      </c>
    </row>
    <row r="13" spans="1:5" hidden="1">
      <c r="A13" s="158" t="s">
        <v>380</v>
      </c>
      <c r="B13" s="162" t="s">
        <v>376</v>
      </c>
      <c r="C13" s="162">
        <v>111</v>
      </c>
      <c r="D13" s="158" t="s">
        <v>379</v>
      </c>
      <c r="E13" s="159">
        <v>589701.34</v>
      </c>
    </row>
    <row r="14" spans="1:5">
      <c r="A14" s="158" t="s">
        <v>380</v>
      </c>
      <c r="B14" s="162" t="s">
        <v>376</v>
      </c>
      <c r="C14" s="162">
        <v>112</v>
      </c>
      <c r="D14" s="158" t="s">
        <v>377</v>
      </c>
      <c r="E14" s="159">
        <v>589000</v>
      </c>
    </row>
    <row r="15" spans="1:5">
      <c r="A15" s="158" t="s">
        <v>380</v>
      </c>
      <c r="B15" s="162" t="s">
        <v>375</v>
      </c>
      <c r="C15" s="154">
        <v>21</v>
      </c>
      <c r="D15" s="158" t="s">
        <v>377</v>
      </c>
      <c r="E15" s="159">
        <v>630837.04</v>
      </c>
    </row>
    <row r="16" spans="1:5" hidden="1">
      <c r="A16" s="158" t="s">
        <v>380</v>
      </c>
      <c r="B16" s="162" t="s">
        <v>375</v>
      </c>
      <c r="C16" s="162">
        <v>22</v>
      </c>
      <c r="D16" s="158" t="s">
        <v>379</v>
      </c>
      <c r="E16" s="159">
        <v>608214</v>
      </c>
    </row>
    <row r="17" spans="1:5" hidden="1">
      <c r="A17" s="158" t="s">
        <v>380</v>
      </c>
      <c r="B17" s="162" t="s">
        <v>375</v>
      </c>
      <c r="C17" s="162">
        <v>23</v>
      </c>
      <c r="D17" s="158" t="s">
        <v>378</v>
      </c>
      <c r="E17" s="159">
        <v>432990</v>
      </c>
    </row>
    <row r="18" spans="1:5" hidden="1">
      <c r="A18" s="158" t="s">
        <v>380</v>
      </c>
      <c r="B18" s="162" t="s">
        <v>375</v>
      </c>
      <c r="C18" s="162">
        <v>33</v>
      </c>
      <c r="D18" s="158" t="s">
        <v>379</v>
      </c>
      <c r="E18" s="159">
        <v>448000</v>
      </c>
    </row>
    <row r="19" spans="1:5" hidden="1">
      <c r="A19" s="158" t="s">
        <v>380</v>
      </c>
      <c r="B19" s="162" t="s">
        <v>375</v>
      </c>
      <c r="C19" s="162">
        <v>34</v>
      </c>
      <c r="D19" s="158" t="s">
        <v>378</v>
      </c>
      <c r="E19" s="159">
        <v>459122.64</v>
      </c>
    </row>
    <row r="20" spans="1:5" hidden="1">
      <c r="A20" s="158" t="s">
        <v>380</v>
      </c>
      <c r="B20" s="162" t="s">
        <v>375</v>
      </c>
      <c r="C20" s="162">
        <v>36</v>
      </c>
      <c r="D20" s="158" t="s">
        <v>378</v>
      </c>
      <c r="E20" s="159">
        <v>468106.28</v>
      </c>
    </row>
    <row r="21" spans="1:5" hidden="1">
      <c r="A21" s="158" t="s">
        <v>380</v>
      </c>
      <c r="B21" s="162" t="s">
        <v>375</v>
      </c>
      <c r="C21" s="162">
        <v>45</v>
      </c>
      <c r="D21" s="158" t="s">
        <v>378</v>
      </c>
      <c r="E21" s="159">
        <v>488240</v>
      </c>
    </row>
    <row r="22" spans="1:5" hidden="1">
      <c r="A22" s="158" t="s">
        <v>380</v>
      </c>
      <c r="B22" s="162" t="s">
        <v>375</v>
      </c>
      <c r="C22" s="162">
        <v>55</v>
      </c>
      <c r="D22" s="158" t="s">
        <v>379</v>
      </c>
      <c r="E22" s="159">
        <v>488346.26</v>
      </c>
    </row>
    <row r="23" spans="1:5">
      <c r="A23" s="158" t="s">
        <v>380</v>
      </c>
      <c r="B23" s="162" t="s">
        <v>375</v>
      </c>
      <c r="C23" s="162">
        <v>56</v>
      </c>
      <c r="D23" s="158" t="s">
        <v>377</v>
      </c>
      <c r="E23" s="159">
        <v>477551</v>
      </c>
    </row>
    <row r="24" spans="1:5">
      <c r="A24" s="158" t="s">
        <v>380</v>
      </c>
      <c r="B24" s="162" t="s">
        <v>375</v>
      </c>
      <c r="C24" s="162">
        <v>61</v>
      </c>
      <c r="D24" s="158" t="s">
        <v>377</v>
      </c>
      <c r="E24" s="159">
        <v>576600</v>
      </c>
    </row>
    <row r="25" spans="1:5" hidden="1">
      <c r="A25" s="158" t="s">
        <v>380</v>
      </c>
      <c r="B25" s="162" t="s">
        <v>375</v>
      </c>
      <c r="C25" s="162">
        <v>62</v>
      </c>
      <c r="D25" s="158" t="s">
        <v>379</v>
      </c>
      <c r="E25" s="159">
        <v>619000</v>
      </c>
    </row>
    <row r="26" spans="1:5" hidden="1">
      <c r="A26" s="158" t="s">
        <v>380</v>
      </c>
      <c r="B26" s="162" t="s">
        <v>375</v>
      </c>
      <c r="C26" s="162">
        <v>66</v>
      </c>
      <c r="D26" s="158" t="s">
        <v>379</v>
      </c>
      <c r="E26" s="159">
        <v>477548.79999999999</v>
      </c>
    </row>
    <row r="27" spans="1:5" hidden="1">
      <c r="A27" s="158" t="s">
        <v>380</v>
      </c>
      <c r="B27" s="162" t="s">
        <v>375</v>
      </c>
      <c r="C27" s="162">
        <v>71</v>
      </c>
      <c r="D27" s="158" t="s">
        <v>381</v>
      </c>
      <c r="E27" s="159">
        <v>581750</v>
      </c>
    </row>
    <row r="28" spans="1:5" hidden="1">
      <c r="A28" s="158" t="s">
        <v>380</v>
      </c>
      <c r="B28" s="162" t="s">
        <v>375</v>
      </c>
      <c r="C28" s="162">
        <v>72</v>
      </c>
      <c r="D28" s="158" t="s">
        <v>378</v>
      </c>
      <c r="E28" s="159">
        <v>619133.05000000005</v>
      </c>
    </row>
    <row r="29" spans="1:5" hidden="1">
      <c r="A29" s="158" t="s">
        <v>380</v>
      </c>
      <c r="B29" s="162" t="s">
        <v>375</v>
      </c>
      <c r="C29" s="162">
        <v>73</v>
      </c>
      <c r="D29" s="158" t="s">
        <v>379</v>
      </c>
      <c r="E29" s="159">
        <v>450000</v>
      </c>
    </row>
    <row r="30" spans="1:5">
      <c r="A30" s="158" t="s">
        <v>380</v>
      </c>
      <c r="B30" s="162" t="s">
        <v>375</v>
      </c>
      <c r="C30" s="154">
        <v>74</v>
      </c>
      <c r="D30" s="158" t="s">
        <v>377</v>
      </c>
      <c r="E30" s="159">
        <v>420000</v>
      </c>
    </row>
    <row r="31" spans="1:5" hidden="1">
      <c r="A31" s="158" t="s">
        <v>380</v>
      </c>
      <c r="B31" s="162" t="s">
        <v>375</v>
      </c>
      <c r="C31" s="162">
        <v>82</v>
      </c>
      <c r="D31" s="158" t="s">
        <v>379</v>
      </c>
      <c r="E31" s="159">
        <v>600000</v>
      </c>
    </row>
    <row r="32" spans="1:5" hidden="1">
      <c r="A32" s="158" t="s">
        <v>380</v>
      </c>
      <c r="B32" s="162" t="s">
        <v>375</v>
      </c>
      <c r="C32" s="162">
        <v>93</v>
      </c>
      <c r="D32" s="158" t="s">
        <v>379</v>
      </c>
      <c r="E32" s="159">
        <v>458000</v>
      </c>
    </row>
    <row r="33" spans="1:5" hidden="1">
      <c r="A33" s="158" t="s">
        <v>380</v>
      </c>
      <c r="B33" s="162" t="s">
        <v>375</v>
      </c>
      <c r="C33" s="162">
        <v>94</v>
      </c>
      <c r="D33" s="158" t="s">
        <v>378</v>
      </c>
      <c r="E33" s="159">
        <v>476289.2</v>
      </c>
    </row>
    <row r="34" spans="1:5">
      <c r="A34" s="158" t="s">
        <v>380</v>
      </c>
      <c r="B34" s="162" t="s">
        <v>375</v>
      </c>
      <c r="C34" s="154">
        <v>96</v>
      </c>
      <c r="D34" s="158" t="s">
        <v>377</v>
      </c>
      <c r="E34" s="159">
        <v>487294.81</v>
      </c>
    </row>
    <row r="35" spans="1:5" hidden="1">
      <c r="A35" s="158" t="s">
        <v>380</v>
      </c>
      <c r="B35" s="162" t="s">
        <v>375</v>
      </c>
      <c r="C35" s="162">
        <v>112</v>
      </c>
      <c r="D35" s="158" t="s">
        <v>379</v>
      </c>
      <c r="E35" s="159">
        <v>600000</v>
      </c>
    </row>
    <row r="36" spans="1:5" hidden="1">
      <c r="A36" s="158" t="s">
        <v>380</v>
      </c>
      <c r="B36" s="162" t="s">
        <v>375</v>
      </c>
      <c r="C36" s="162">
        <v>162</v>
      </c>
      <c r="D36" s="158" t="s">
        <v>379</v>
      </c>
      <c r="E36" s="159">
        <v>614100</v>
      </c>
    </row>
    <row r="37" spans="1:5">
      <c r="A37" s="158" t="s">
        <v>380</v>
      </c>
      <c r="B37" s="162" t="s">
        <v>375</v>
      </c>
      <c r="C37" s="162">
        <v>185</v>
      </c>
      <c r="D37" s="158" t="s">
        <v>377</v>
      </c>
      <c r="E37" s="159">
        <v>506646.17</v>
      </c>
    </row>
    <row r="38" spans="1:5">
      <c r="A38" s="158" t="s">
        <v>380</v>
      </c>
      <c r="B38" s="162" t="s">
        <v>376</v>
      </c>
      <c r="C38" s="154">
        <v>62</v>
      </c>
      <c r="D38" s="158" t="s">
        <v>377</v>
      </c>
      <c r="E38" s="159">
        <v>615939</v>
      </c>
    </row>
    <row r="39" spans="1:5" hidden="1">
      <c r="A39" s="158" t="s">
        <v>380</v>
      </c>
      <c r="B39" s="162" t="s">
        <v>375</v>
      </c>
      <c r="C39" s="162">
        <v>111</v>
      </c>
      <c r="D39" s="158" t="s">
        <v>379</v>
      </c>
      <c r="E39" s="159">
        <v>611604</v>
      </c>
    </row>
    <row r="40" spans="1:5" hidden="1">
      <c r="A40" s="158" t="s">
        <v>380</v>
      </c>
      <c r="B40" s="162" t="s">
        <v>376</v>
      </c>
      <c r="C40" s="162">
        <v>45</v>
      </c>
      <c r="D40" s="158" t="s">
        <v>378</v>
      </c>
      <c r="E40" s="159">
        <v>468000</v>
      </c>
    </row>
    <row r="41" spans="1:5" hidden="1">
      <c r="A41" s="158" t="s">
        <v>380</v>
      </c>
      <c r="B41" s="162" t="s">
        <v>375</v>
      </c>
      <c r="C41" s="162">
        <v>44</v>
      </c>
      <c r="D41" s="158" t="s">
        <v>378</v>
      </c>
      <c r="E41" s="159">
        <v>435044</v>
      </c>
    </row>
  </sheetData>
  <autoFilter ref="A1:E41">
    <filterColumn colId="3">
      <filters>
        <filter val="Access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N112"/>
  <sheetViews>
    <sheetView workbookViewId="0">
      <selection activeCell="A40" sqref="A40"/>
    </sheetView>
  </sheetViews>
  <sheetFormatPr defaultRowHeight="14.4"/>
  <cols>
    <col min="1" max="1" width="25.33203125" style="7" bestFit="1" customWidth="1"/>
    <col min="2" max="2" width="13" customWidth="1"/>
    <col min="3" max="3" width="19.109375" bestFit="1" customWidth="1"/>
    <col min="4" max="4" width="13.33203125" customWidth="1"/>
    <col min="5" max="5" width="14.109375" customWidth="1"/>
    <col min="6" max="6" width="15" customWidth="1"/>
    <col min="7" max="7" width="13.33203125" style="7" customWidth="1"/>
    <col min="8" max="8" width="14" customWidth="1"/>
    <col min="9" max="9" width="9" style="7" customWidth="1"/>
    <col min="10" max="10" width="4" customWidth="1"/>
    <col min="11" max="11" width="15" customWidth="1"/>
    <col min="12" max="12" width="10.5546875" customWidth="1"/>
    <col min="13" max="13" width="14.33203125" bestFit="1" customWidth="1"/>
    <col min="14" max="14" width="4.6640625" customWidth="1"/>
  </cols>
  <sheetData>
    <row r="2" spans="1:14">
      <c r="A2" s="8" t="s">
        <v>11</v>
      </c>
      <c r="B2" s="8" t="s">
        <v>10</v>
      </c>
      <c r="C2" s="8" t="s">
        <v>0</v>
      </c>
      <c r="D2" s="8" t="s">
        <v>1</v>
      </c>
      <c r="E2" s="8" t="s">
        <v>2</v>
      </c>
      <c r="F2" s="8" t="s">
        <v>28</v>
      </c>
      <c r="G2" s="8" t="s">
        <v>29</v>
      </c>
      <c r="H2" s="8" t="s">
        <v>3</v>
      </c>
      <c r="I2" s="8" t="s">
        <v>13</v>
      </c>
      <c r="J2" s="7"/>
      <c r="K2" s="218" t="s">
        <v>13</v>
      </c>
      <c r="L2" s="218"/>
      <c r="M2" s="218"/>
    </row>
    <row r="3" spans="1:14">
      <c r="A3" s="15" t="s">
        <v>146</v>
      </c>
      <c r="B3" s="25" t="s">
        <v>85</v>
      </c>
      <c r="C3" s="25">
        <v>2610</v>
      </c>
      <c r="D3" s="98">
        <v>41430</v>
      </c>
      <c r="E3" s="25" t="s">
        <v>61</v>
      </c>
      <c r="F3" s="105">
        <v>1429.4</v>
      </c>
      <c r="G3" s="105">
        <v>1188.44</v>
      </c>
      <c r="H3" s="105">
        <v>408400</v>
      </c>
      <c r="I3" s="25">
        <v>1</v>
      </c>
      <c r="J3" s="7"/>
      <c r="K3" s="8" t="s">
        <v>6</v>
      </c>
      <c r="L3" s="8" t="s">
        <v>5</v>
      </c>
      <c r="M3" s="8" t="s">
        <v>3</v>
      </c>
    </row>
    <row r="4" spans="1:14" s="7" customFormat="1">
      <c r="A4" s="15" t="s">
        <v>259</v>
      </c>
      <c r="B4" s="25" t="s">
        <v>85</v>
      </c>
      <c r="C4" s="25">
        <v>93</v>
      </c>
      <c r="D4" s="98">
        <v>41444</v>
      </c>
      <c r="E4" s="25" t="s">
        <v>61</v>
      </c>
      <c r="F4" s="105">
        <v>2205</v>
      </c>
      <c r="G4" s="105">
        <v>0</v>
      </c>
      <c r="H4" s="105">
        <v>630000</v>
      </c>
      <c r="I4" s="25">
        <v>1</v>
      </c>
      <c r="K4" s="17" t="s">
        <v>143</v>
      </c>
      <c r="L4" s="118">
        <f>SUM(I85:I95)</f>
        <v>9.75</v>
      </c>
      <c r="M4" s="16">
        <f>SUM(H85:H95)</f>
        <v>6585546.6099999994</v>
      </c>
    </row>
    <row r="5" spans="1:14">
      <c r="A5" s="15" t="s">
        <v>270</v>
      </c>
      <c r="B5" s="25" t="s">
        <v>175</v>
      </c>
      <c r="C5" s="25">
        <v>72</v>
      </c>
      <c r="D5" s="98">
        <v>41451</v>
      </c>
      <c r="E5" s="25" t="s">
        <v>61</v>
      </c>
      <c r="F5" s="105">
        <v>1793.15</v>
      </c>
      <c r="G5" s="105">
        <v>1306.44</v>
      </c>
      <c r="H5" s="105">
        <v>512328.88</v>
      </c>
      <c r="I5" s="25">
        <v>1</v>
      </c>
      <c r="J5" s="33"/>
      <c r="K5" s="20" t="s">
        <v>33</v>
      </c>
      <c r="L5" s="61">
        <f>SUM(I40:I53)</f>
        <v>13</v>
      </c>
      <c r="M5" s="38">
        <f>SUM(H40:H53)</f>
        <v>5166419.3</v>
      </c>
      <c r="N5" s="7"/>
    </row>
    <row r="6" spans="1:14" s="7" customFormat="1">
      <c r="A6" s="15" t="s">
        <v>270</v>
      </c>
      <c r="B6" s="25" t="s">
        <v>273</v>
      </c>
      <c r="C6" s="25">
        <v>26</v>
      </c>
      <c r="D6" s="98">
        <v>41451</v>
      </c>
      <c r="E6" s="25" t="s">
        <v>61</v>
      </c>
      <c r="F6" s="105">
        <v>1577.19</v>
      </c>
      <c r="G6" s="105">
        <v>1825.03</v>
      </c>
      <c r="H6" s="105">
        <v>450624.53</v>
      </c>
      <c r="I6" s="25">
        <v>1</v>
      </c>
      <c r="J6" s="33"/>
      <c r="K6" s="20" t="s">
        <v>131</v>
      </c>
      <c r="L6" s="119">
        <f>SUM(I3:I15)</f>
        <v>12.5</v>
      </c>
      <c r="M6" s="38">
        <f>SUM(H3:H15)</f>
        <v>5582804.2400000012</v>
      </c>
    </row>
    <row r="7" spans="1:14">
      <c r="A7" s="15" t="s">
        <v>270</v>
      </c>
      <c r="B7" s="25" t="s">
        <v>273</v>
      </c>
      <c r="C7" s="42">
        <v>48</v>
      </c>
      <c r="D7" s="9">
        <v>41450</v>
      </c>
      <c r="E7" s="25" t="s">
        <v>61</v>
      </c>
      <c r="F7" s="10">
        <v>1344.37</v>
      </c>
      <c r="G7" s="10">
        <v>1555.62</v>
      </c>
      <c r="H7" s="10">
        <v>384104.85</v>
      </c>
      <c r="I7" s="62">
        <v>1</v>
      </c>
      <c r="J7" s="33"/>
      <c r="K7" s="20" t="s">
        <v>134</v>
      </c>
      <c r="L7" s="119"/>
      <c r="M7" s="38"/>
      <c r="N7" s="7"/>
    </row>
    <row r="8" spans="1:14" s="7" customFormat="1">
      <c r="A8" s="15" t="s">
        <v>270</v>
      </c>
      <c r="B8" s="25" t="s">
        <v>273</v>
      </c>
      <c r="C8" s="42">
        <v>28</v>
      </c>
      <c r="D8" s="9">
        <v>41450</v>
      </c>
      <c r="E8" s="25" t="s">
        <v>61</v>
      </c>
      <c r="F8" s="10">
        <v>1317.62</v>
      </c>
      <c r="G8" s="10">
        <v>1524.67</v>
      </c>
      <c r="H8" s="10">
        <v>376461.43</v>
      </c>
      <c r="I8" s="62">
        <v>1</v>
      </c>
      <c r="J8" s="33"/>
      <c r="K8" s="20" t="s">
        <v>132</v>
      </c>
      <c r="L8" s="119">
        <f>SUM(I54:I70)</f>
        <v>15</v>
      </c>
      <c r="M8" s="38">
        <f>SUM(H54:H70)</f>
        <v>6647414.5900000008</v>
      </c>
    </row>
    <row r="9" spans="1:14">
      <c r="A9" s="15" t="s">
        <v>270</v>
      </c>
      <c r="B9" s="25" t="s">
        <v>271</v>
      </c>
      <c r="C9" s="39">
        <v>31</v>
      </c>
      <c r="D9" s="12">
        <v>41451</v>
      </c>
      <c r="E9" s="25" t="s">
        <v>61</v>
      </c>
      <c r="F9" s="10">
        <v>1345.39</v>
      </c>
      <c r="G9" s="10">
        <v>1556.8</v>
      </c>
      <c r="H9" s="10">
        <v>384395.95</v>
      </c>
      <c r="I9" s="34">
        <v>1</v>
      </c>
      <c r="J9" s="33"/>
      <c r="K9" s="20" t="s">
        <v>79</v>
      </c>
      <c r="L9" s="119">
        <f>SUM(I16:I27)</f>
        <v>10.5</v>
      </c>
      <c r="M9" s="21">
        <f>SUM(H16:H27)</f>
        <v>4827063.0799999991</v>
      </c>
      <c r="N9" s="7"/>
    </row>
    <row r="10" spans="1:14">
      <c r="A10" s="15" t="s">
        <v>270</v>
      </c>
      <c r="B10" s="25" t="s">
        <v>271</v>
      </c>
      <c r="C10" s="39">
        <v>38</v>
      </c>
      <c r="D10" s="12">
        <v>41451</v>
      </c>
      <c r="E10" s="25" t="s">
        <v>61</v>
      </c>
      <c r="F10" s="10">
        <v>1345.39</v>
      </c>
      <c r="G10" s="10">
        <v>1556.8</v>
      </c>
      <c r="H10" s="10">
        <v>384395.95</v>
      </c>
      <c r="I10" s="34">
        <v>1</v>
      </c>
      <c r="J10" s="33"/>
      <c r="K10" s="20" t="s">
        <v>26</v>
      </c>
      <c r="L10" s="61">
        <f>SUM(I71:I84)</f>
        <v>12.25</v>
      </c>
      <c r="M10" s="38">
        <f>SUM(H71:H84)</f>
        <v>7611356.3700000001</v>
      </c>
      <c r="N10" s="7"/>
    </row>
    <row r="11" spans="1:14">
      <c r="A11" s="15" t="s">
        <v>270</v>
      </c>
      <c r="B11" s="25" t="s">
        <v>278</v>
      </c>
      <c r="C11" s="39">
        <v>41</v>
      </c>
      <c r="D11" s="12">
        <v>41451</v>
      </c>
      <c r="E11" s="25" t="s">
        <v>61</v>
      </c>
      <c r="F11" s="10">
        <v>2218.84</v>
      </c>
      <c r="G11" s="10">
        <v>2510.46</v>
      </c>
      <c r="H11" s="10">
        <v>633955.6</v>
      </c>
      <c r="I11" s="34">
        <v>1</v>
      </c>
      <c r="J11" s="33"/>
      <c r="K11" s="20" t="s">
        <v>23</v>
      </c>
      <c r="L11" s="61">
        <f>SUM(I96:I107)</f>
        <v>10.5</v>
      </c>
      <c r="M11" s="21">
        <f>SUM(H96:H107)</f>
        <v>4114464.39</v>
      </c>
      <c r="N11" s="7"/>
    </row>
    <row r="12" spans="1:14">
      <c r="A12" s="109" t="s">
        <v>270</v>
      </c>
      <c r="B12" s="110" t="s">
        <v>271</v>
      </c>
      <c r="C12" s="111">
        <v>87</v>
      </c>
      <c r="D12" s="115">
        <v>41451</v>
      </c>
      <c r="E12" s="110" t="s">
        <v>61</v>
      </c>
      <c r="F12" s="113">
        <v>4193.8500000000004</v>
      </c>
      <c r="G12" s="113">
        <v>1592.35</v>
      </c>
      <c r="H12" s="113">
        <v>262115.65</v>
      </c>
      <c r="I12" s="114">
        <v>0.5</v>
      </c>
      <c r="J12" s="33"/>
      <c r="K12" s="17" t="s">
        <v>35</v>
      </c>
      <c r="L12" s="118"/>
      <c r="M12" s="16"/>
      <c r="N12" s="7"/>
    </row>
    <row r="13" spans="1:14" s="7" customFormat="1">
      <c r="A13" s="15" t="s">
        <v>270</v>
      </c>
      <c r="B13" s="25" t="s">
        <v>271</v>
      </c>
      <c r="C13" s="39">
        <v>85</v>
      </c>
      <c r="D13" s="9">
        <v>41451</v>
      </c>
      <c r="E13" s="25" t="s">
        <v>61</v>
      </c>
      <c r="F13" s="10">
        <v>1396.22</v>
      </c>
      <c r="G13" s="10">
        <v>1615.62</v>
      </c>
      <c r="H13" s="10">
        <v>398919.4</v>
      </c>
      <c r="I13" s="62">
        <v>1</v>
      </c>
      <c r="J13" s="33"/>
      <c r="K13" s="20" t="s">
        <v>130</v>
      </c>
      <c r="L13" s="119">
        <f>SUM(I28:I39)</f>
        <v>10</v>
      </c>
      <c r="M13" s="21">
        <f>SUM(H28:H39)</f>
        <v>4563079.6400000006</v>
      </c>
    </row>
    <row r="14" spans="1:14" s="7" customFormat="1">
      <c r="A14" s="15" t="s">
        <v>145</v>
      </c>
      <c r="B14" s="25" t="s">
        <v>85</v>
      </c>
      <c r="C14" s="39">
        <v>815</v>
      </c>
      <c r="D14" s="12">
        <v>41455</v>
      </c>
      <c r="E14" s="25" t="s">
        <v>61</v>
      </c>
      <c r="F14" s="10">
        <v>1334.9</v>
      </c>
      <c r="G14" s="10">
        <v>1796.39</v>
      </c>
      <c r="H14" s="10">
        <v>381400</v>
      </c>
      <c r="I14" s="62">
        <v>1</v>
      </c>
      <c r="J14" s="33"/>
      <c r="K14" s="17"/>
      <c r="L14" s="120"/>
      <c r="M14" s="16"/>
    </row>
    <row r="15" spans="1:14">
      <c r="A15" s="15" t="s">
        <v>270</v>
      </c>
      <c r="B15" s="25" t="s">
        <v>271</v>
      </c>
      <c r="C15" s="42">
        <v>18</v>
      </c>
      <c r="D15" s="9">
        <v>41455</v>
      </c>
      <c r="E15" s="25" t="s">
        <v>61</v>
      </c>
      <c r="F15" s="10">
        <v>1314.96</v>
      </c>
      <c r="G15" s="10">
        <v>1521.59</v>
      </c>
      <c r="H15" s="10">
        <v>375702</v>
      </c>
      <c r="I15" s="62">
        <v>1</v>
      </c>
      <c r="J15" s="33"/>
      <c r="K15" s="18" t="s">
        <v>12</v>
      </c>
      <c r="L15" s="70">
        <f>SUM(L4:L13)</f>
        <v>93.5</v>
      </c>
      <c r="M15" s="19">
        <f>SUM(M4:M14)</f>
        <v>45098148.219999999</v>
      </c>
    </row>
    <row r="16" spans="1:14">
      <c r="A16" s="11" t="s">
        <v>146</v>
      </c>
      <c r="B16" s="25" t="s">
        <v>85</v>
      </c>
      <c r="C16" s="25">
        <v>2003</v>
      </c>
      <c r="D16" s="98">
        <v>41431</v>
      </c>
      <c r="E16" s="25" t="s">
        <v>79</v>
      </c>
      <c r="F16" s="105">
        <v>1088.98</v>
      </c>
      <c r="G16" s="105">
        <v>0</v>
      </c>
      <c r="H16" s="105">
        <v>311136</v>
      </c>
      <c r="I16" s="25">
        <v>1</v>
      </c>
      <c r="J16" s="52"/>
      <c r="K16" s="121"/>
      <c r="L16" s="121"/>
      <c r="M16" s="121"/>
    </row>
    <row r="17" spans="1:13" s="7" customFormat="1">
      <c r="A17" s="15" t="s">
        <v>146</v>
      </c>
      <c r="B17" s="25" t="s">
        <v>85</v>
      </c>
      <c r="C17" s="42">
        <v>2112</v>
      </c>
      <c r="D17" s="9">
        <v>41434</v>
      </c>
      <c r="E17" s="12" t="s">
        <v>79</v>
      </c>
      <c r="F17" s="106">
        <v>1192.25</v>
      </c>
      <c r="G17" s="106">
        <v>1890.57</v>
      </c>
      <c r="H17" s="106">
        <v>340643.86</v>
      </c>
      <c r="I17" s="62">
        <v>0.5</v>
      </c>
      <c r="J17" s="52"/>
      <c r="K17" s="3"/>
      <c r="L17" s="4"/>
      <c r="M17" s="4"/>
    </row>
    <row r="18" spans="1:13">
      <c r="A18" s="15" t="s">
        <v>146</v>
      </c>
      <c r="B18" s="25" t="s">
        <v>85</v>
      </c>
      <c r="C18" s="42">
        <v>1508</v>
      </c>
      <c r="D18" s="9">
        <v>41437</v>
      </c>
      <c r="E18" s="12" t="s">
        <v>79</v>
      </c>
      <c r="F18" s="106">
        <v>688.98</v>
      </c>
      <c r="G18" s="106">
        <v>0</v>
      </c>
      <c r="H18" s="106">
        <v>196850</v>
      </c>
      <c r="I18" s="62">
        <v>0.5</v>
      </c>
      <c r="J18" s="27"/>
      <c r="K18" s="219"/>
      <c r="L18" s="219"/>
      <c r="M18" s="219"/>
    </row>
    <row r="19" spans="1:13" s="7" customFormat="1">
      <c r="A19" s="15" t="s">
        <v>146</v>
      </c>
      <c r="B19" s="25" t="s">
        <v>85</v>
      </c>
      <c r="C19" s="42">
        <v>508</v>
      </c>
      <c r="D19" s="9">
        <v>41437</v>
      </c>
      <c r="E19" s="12" t="s">
        <v>79</v>
      </c>
      <c r="F19" s="106">
        <v>665.7</v>
      </c>
      <c r="G19" s="106">
        <v>0</v>
      </c>
      <c r="H19" s="106">
        <v>190200</v>
      </c>
      <c r="I19" s="62">
        <v>0.5</v>
      </c>
      <c r="J19" s="27"/>
      <c r="K19" s="53"/>
      <c r="L19" s="53"/>
      <c r="M19" s="53"/>
    </row>
    <row r="20" spans="1:13" s="7" customFormat="1">
      <c r="A20" s="15" t="s">
        <v>146</v>
      </c>
      <c r="B20" s="25" t="s">
        <v>85</v>
      </c>
      <c r="C20" s="42">
        <v>907</v>
      </c>
      <c r="D20" s="9">
        <v>41451</v>
      </c>
      <c r="E20" s="12" t="s">
        <v>79</v>
      </c>
      <c r="F20" s="106">
        <v>1296.05</v>
      </c>
      <c r="G20" s="106">
        <v>2055.17</v>
      </c>
      <c r="H20" s="106">
        <v>370300</v>
      </c>
      <c r="I20" s="62">
        <v>1</v>
      </c>
      <c r="J20" s="27"/>
      <c r="K20" s="54"/>
      <c r="L20" s="55"/>
      <c r="M20" s="56"/>
    </row>
    <row r="21" spans="1:13">
      <c r="A21" s="15" t="s">
        <v>270</v>
      </c>
      <c r="B21" s="25" t="s">
        <v>175</v>
      </c>
      <c r="C21" s="42">
        <v>5</v>
      </c>
      <c r="D21" s="9">
        <v>41455</v>
      </c>
      <c r="E21" s="12" t="s">
        <v>79</v>
      </c>
      <c r="F21" s="106">
        <v>1350.37</v>
      </c>
      <c r="G21" s="106">
        <v>1562.57</v>
      </c>
      <c r="H21" s="106">
        <v>385819.99</v>
      </c>
      <c r="I21" s="62">
        <v>1</v>
      </c>
      <c r="J21" s="27"/>
      <c r="K21" s="54"/>
      <c r="L21" s="54"/>
      <c r="M21" s="54"/>
    </row>
    <row r="22" spans="1:13">
      <c r="A22" s="15" t="s">
        <v>270</v>
      </c>
      <c r="B22" s="25" t="s">
        <v>278</v>
      </c>
      <c r="C22" s="42">
        <v>22</v>
      </c>
      <c r="D22" s="9">
        <v>41455</v>
      </c>
      <c r="E22" s="12" t="s">
        <v>79</v>
      </c>
      <c r="F22" s="106">
        <v>2235.79</v>
      </c>
      <c r="G22" s="106">
        <v>2587.12</v>
      </c>
      <c r="H22" s="106">
        <v>638796</v>
      </c>
      <c r="I22" s="62">
        <v>1</v>
      </c>
      <c r="J22" s="52"/>
      <c r="K22" s="57"/>
      <c r="L22" s="58"/>
      <c r="M22" s="59"/>
    </row>
    <row r="23" spans="1:13">
      <c r="A23" s="15" t="s">
        <v>270</v>
      </c>
      <c r="B23" s="25" t="s">
        <v>273</v>
      </c>
      <c r="C23" s="39">
        <v>24</v>
      </c>
      <c r="D23" s="9">
        <v>41452</v>
      </c>
      <c r="E23" s="12" t="s">
        <v>79</v>
      </c>
      <c r="F23" s="10">
        <v>1158.68</v>
      </c>
      <c r="G23" s="10">
        <v>1340.75</v>
      </c>
      <c r="H23" s="10">
        <v>331050</v>
      </c>
      <c r="I23" s="62">
        <v>1</v>
      </c>
      <c r="J23" s="52"/>
      <c r="K23" s="3"/>
      <c r="L23" s="3"/>
      <c r="M23" s="4"/>
    </row>
    <row r="24" spans="1:13">
      <c r="A24" s="15" t="s">
        <v>270</v>
      </c>
      <c r="B24" s="25" t="s">
        <v>273</v>
      </c>
      <c r="C24" s="39">
        <v>33</v>
      </c>
      <c r="D24" s="9">
        <v>41455</v>
      </c>
      <c r="E24" s="12" t="s">
        <v>79</v>
      </c>
      <c r="F24" s="10">
        <v>1545.78</v>
      </c>
      <c r="G24" s="10">
        <v>1126.21</v>
      </c>
      <c r="H24" s="10">
        <v>441650</v>
      </c>
      <c r="I24" s="62">
        <v>1</v>
      </c>
      <c r="J24" s="52"/>
    </row>
    <row r="25" spans="1:13">
      <c r="A25" s="15" t="s">
        <v>270</v>
      </c>
      <c r="B25" s="25" t="s">
        <v>272</v>
      </c>
      <c r="C25" s="42">
        <v>51</v>
      </c>
      <c r="D25" s="9">
        <v>41452</v>
      </c>
      <c r="E25" s="12" t="s">
        <v>79</v>
      </c>
      <c r="F25" s="106">
        <v>2258.29</v>
      </c>
      <c r="G25" s="106">
        <v>1180.77</v>
      </c>
      <c r="H25" s="106">
        <v>645227.11</v>
      </c>
      <c r="I25" s="62">
        <v>1</v>
      </c>
      <c r="J25" s="27"/>
      <c r="L25" s="35"/>
      <c r="M25" s="6"/>
    </row>
    <row r="26" spans="1:13">
      <c r="A26" s="15" t="s">
        <v>270</v>
      </c>
      <c r="B26" s="25" t="s">
        <v>175</v>
      </c>
      <c r="C26" s="42">
        <v>52</v>
      </c>
      <c r="D26" s="9">
        <v>41452</v>
      </c>
      <c r="E26" s="12" t="s">
        <v>79</v>
      </c>
      <c r="F26" s="106">
        <v>1737.18</v>
      </c>
      <c r="G26" s="106">
        <v>2010.17</v>
      </c>
      <c r="H26" s="106">
        <v>496338.32</v>
      </c>
      <c r="I26" s="62">
        <v>1</v>
      </c>
      <c r="J26" s="27"/>
      <c r="K26" s="7"/>
      <c r="L26" s="35"/>
      <c r="M26" s="6"/>
    </row>
    <row r="27" spans="1:13">
      <c r="A27" s="15" t="s">
        <v>270</v>
      </c>
      <c r="B27" s="25" t="s">
        <v>273</v>
      </c>
      <c r="C27" s="42">
        <v>53</v>
      </c>
      <c r="D27" s="9">
        <v>41451</v>
      </c>
      <c r="E27" s="12" t="s">
        <v>79</v>
      </c>
      <c r="F27" s="106">
        <v>1676.68</v>
      </c>
      <c r="G27" s="106">
        <v>1940.16</v>
      </c>
      <c r="H27" s="106">
        <v>479051.8</v>
      </c>
      <c r="I27" s="62">
        <v>1</v>
      </c>
      <c r="J27" s="27"/>
      <c r="K27" s="7"/>
      <c r="L27" s="35"/>
      <c r="M27" s="6"/>
    </row>
    <row r="28" spans="1:13" s="7" customFormat="1">
      <c r="A28" s="15" t="s">
        <v>146</v>
      </c>
      <c r="B28" s="25" t="s">
        <v>85</v>
      </c>
      <c r="C28" s="39">
        <v>1906</v>
      </c>
      <c r="D28" s="9">
        <v>41398</v>
      </c>
      <c r="E28" s="25" t="s">
        <v>27</v>
      </c>
      <c r="F28" s="105">
        <v>1607.15</v>
      </c>
      <c r="G28" s="105">
        <v>2229.9299999999998</v>
      </c>
      <c r="H28" s="105">
        <v>401788.53</v>
      </c>
      <c r="I28" s="25">
        <v>1</v>
      </c>
      <c r="L28" s="35"/>
      <c r="M28" s="6"/>
    </row>
    <row r="29" spans="1:13">
      <c r="A29" s="15" t="s">
        <v>146</v>
      </c>
      <c r="B29" s="25" t="s">
        <v>85</v>
      </c>
      <c r="C29" s="42">
        <v>2112</v>
      </c>
      <c r="D29" s="9">
        <v>41434</v>
      </c>
      <c r="E29" s="12" t="s">
        <v>27</v>
      </c>
      <c r="F29" s="106">
        <v>1192.25</v>
      </c>
      <c r="G29" s="106">
        <v>1890.57</v>
      </c>
      <c r="H29" s="106">
        <v>340643.86</v>
      </c>
      <c r="I29" s="62">
        <v>0.5</v>
      </c>
      <c r="J29" s="7"/>
      <c r="K29" s="7"/>
      <c r="L29" s="35"/>
      <c r="M29" s="6"/>
    </row>
    <row r="30" spans="1:13">
      <c r="A30" s="15" t="s">
        <v>146</v>
      </c>
      <c r="B30" s="25" t="s">
        <v>85</v>
      </c>
      <c r="C30" s="42">
        <v>1508</v>
      </c>
      <c r="D30" s="9">
        <v>41437</v>
      </c>
      <c r="E30" s="12" t="s">
        <v>27</v>
      </c>
      <c r="F30" s="106">
        <v>688.98</v>
      </c>
      <c r="G30" s="106">
        <v>0</v>
      </c>
      <c r="H30" s="106">
        <v>196850</v>
      </c>
      <c r="I30" s="62">
        <v>0.5</v>
      </c>
      <c r="J30" s="7"/>
      <c r="K30" s="7"/>
      <c r="L30" s="35"/>
      <c r="M30" s="6"/>
    </row>
    <row r="31" spans="1:13" s="7" customFormat="1">
      <c r="A31" s="15" t="s">
        <v>146</v>
      </c>
      <c r="B31" s="25" t="s">
        <v>85</v>
      </c>
      <c r="C31" s="42">
        <v>508</v>
      </c>
      <c r="D31" s="9">
        <v>41437</v>
      </c>
      <c r="E31" s="12" t="s">
        <v>27</v>
      </c>
      <c r="F31" s="106">
        <v>665.7</v>
      </c>
      <c r="G31" s="106">
        <v>0</v>
      </c>
      <c r="H31" s="106">
        <v>190200</v>
      </c>
      <c r="I31" s="62">
        <v>0.5</v>
      </c>
      <c r="L31" s="35"/>
      <c r="M31" s="6"/>
    </row>
    <row r="32" spans="1:13" s="7" customFormat="1">
      <c r="A32" s="109" t="s">
        <v>270</v>
      </c>
      <c r="B32" s="110" t="s">
        <v>271</v>
      </c>
      <c r="C32" s="111">
        <v>2</v>
      </c>
      <c r="D32" s="112">
        <v>41455</v>
      </c>
      <c r="E32" s="115" t="s">
        <v>27</v>
      </c>
      <c r="F32" s="113">
        <v>851.99</v>
      </c>
      <c r="G32" s="113">
        <v>985.87</v>
      </c>
      <c r="H32" s="113">
        <v>243425</v>
      </c>
      <c r="I32" s="114">
        <v>0.5</v>
      </c>
      <c r="L32" s="35"/>
      <c r="M32" s="6"/>
    </row>
    <row r="33" spans="1:13" s="7" customFormat="1">
      <c r="A33" s="77" t="s">
        <v>270</v>
      </c>
      <c r="B33" s="78" t="s">
        <v>272</v>
      </c>
      <c r="C33" s="39">
        <v>23</v>
      </c>
      <c r="D33" s="9">
        <v>41455</v>
      </c>
      <c r="E33" s="12" t="s">
        <v>27</v>
      </c>
      <c r="F33" s="10">
        <v>2116.98</v>
      </c>
      <c r="G33" s="10">
        <v>2298.4299999999998</v>
      </c>
      <c r="H33" s="10">
        <v>604850</v>
      </c>
      <c r="I33" s="34">
        <v>1</v>
      </c>
      <c r="L33" s="35"/>
      <c r="M33" s="6"/>
    </row>
    <row r="34" spans="1:13" s="7" customFormat="1">
      <c r="A34" s="15" t="s">
        <v>270</v>
      </c>
      <c r="B34" s="25" t="s">
        <v>271</v>
      </c>
      <c r="C34" s="42">
        <v>25</v>
      </c>
      <c r="D34" s="9">
        <v>41455</v>
      </c>
      <c r="E34" s="12" t="s">
        <v>27</v>
      </c>
      <c r="F34" s="10">
        <v>1311.45</v>
      </c>
      <c r="G34" s="10">
        <v>1517.54</v>
      </c>
      <c r="H34" s="10">
        <v>374700</v>
      </c>
      <c r="I34" s="62">
        <v>1</v>
      </c>
      <c r="L34" s="35"/>
      <c r="M34" s="6"/>
    </row>
    <row r="35" spans="1:13" s="7" customFormat="1">
      <c r="A35" s="15" t="s">
        <v>270</v>
      </c>
      <c r="B35" s="25" t="s">
        <v>273</v>
      </c>
      <c r="C35" s="42">
        <v>35</v>
      </c>
      <c r="D35" s="9">
        <v>41455</v>
      </c>
      <c r="E35" s="12" t="s">
        <v>27</v>
      </c>
      <c r="F35" s="10">
        <v>1304.6400000000001</v>
      </c>
      <c r="G35" s="10">
        <v>693.32</v>
      </c>
      <c r="H35" s="10">
        <v>372753.5</v>
      </c>
      <c r="I35" s="62">
        <v>1</v>
      </c>
      <c r="L35" s="35"/>
      <c r="M35" s="6"/>
    </row>
    <row r="36" spans="1:13" s="7" customFormat="1">
      <c r="A36" s="15" t="s">
        <v>270</v>
      </c>
      <c r="B36" s="25" t="s">
        <v>271</v>
      </c>
      <c r="C36" s="42">
        <v>36</v>
      </c>
      <c r="D36" s="9">
        <v>41455</v>
      </c>
      <c r="E36" s="12" t="s">
        <v>27</v>
      </c>
      <c r="F36" s="10">
        <v>1723.15</v>
      </c>
      <c r="G36" s="10">
        <v>1993.93</v>
      </c>
      <c r="H36" s="10">
        <v>492329</v>
      </c>
      <c r="I36" s="62">
        <v>1</v>
      </c>
    </row>
    <row r="37" spans="1:13" s="7" customFormat="1">
      <c r="A37" s="77" t="s">
        <v>270</v>
      </c>
      <c r="B37" s="78" t="s">
        <v>271</v>
      </c>
      <c r="C37" s="39">
        <v>46</v>
      </c>
      <c r="D37" s="9">
        <v>41455</v>
      </c>
      <c r="E37" s="12" t="s">
        <v>27</v>
      </c>
      <c r="F37" s="10">
        <v>1507.45</v>
      </c>
      <c r="G37" s="10">
        <v>1744.34</v>
      </c>
      <c r="H37" s="10">
        <v>430700</v>
      </c>
      <c r="I37" s="34">
        <v>1</v>
      </c>
    </row>
    <row r="38" spans="1:13" s="7" customFormat="1">
      <c r="A38" s="77" t="s">
        <v>270</v>
      </c>
      <c r="B38" s="78" t="s">
        <v>273</v>
      </c>
      <c r="C38" s="39">
        <v>51</v>
      </c>
      <c r="D38" s="9">
        <v>41455</v>
      </c>
      <c r="E38" s="12" t="s">
        <v>27</v>
      </c>
      <c r="F38" s="10">
        <v>1344.05</v>
      </c>
      <c r="G38" s="10">
        <v>1059.8800000000001</v>
      </c>
      <c r="H38" s="10">
        <v>384015</v>
      </c>
      <c r="I38" s="34">
        <v>1</v>
      </c>
    </row>
    <row r="39" spans="1:13" s="7" customFormat="1">
      <c r="A39" s="77" t="s">
        <v>270</v>
      </c>
      <c r="B39" s="78" t="s">
        <v>271</v>
      </c>
      <c r="C39" s="39">
        <v>77</v>
      </c>
      <c r="D39" s="9">
        <v>41451</v>
      </c>
      <c r="E39" s="12" t="s">
        <v>27</v>
      </c>
      <c r="F39" s="10">
        <v>1857.89</v>
      </c>
      <c r="G39" s="10">
        <v>2149.84</v>
      </c>
      <c r="H39" s="10">
        <v>530824.75</v>
      </c>
      <c r="I39" s="34">
        <v>1</v>
      </c>
    </row>
    <row r="40" spans="1:13" s="7" customFormat="1">
      <c r="A40" s="15" t="s">
        <v>116</v>
      </c>
      <c r="B40" s="25" t="s">
        <v>136</v>
      </c>
      <c r="C40" s="39">
        <v>135</v>
      </c>
      <c r="D40" s="9">
        <v>41436</v>
      </c>
      <c r="E40" s="25" t="s">
        <v>33</v>
      </c>
      <c r="F40" s="105">
        <v>1243.29</v>
      </c>
      <c r="G40" s="105">
        <v>0</v>
      </c>
      <c r="H40" s="105">
        <v>248657.21</v>
      </c>
      <c r="I40" s="25">
        <v>1</v>
      </c>
    </row>
    <row r="41" spans="1:13" s="7" customFormat="1">
      <c r="A41" s="15" t="s">
        <v>145</v>
      </c>
      <c r="B41" s="25" t="s">
        <v>85</v>
      </c>
      <c r="C41" s="39">
        <v>1316</v>
      </c>
      <c r="D41" s="9">
        <v>41441</v>
      </c>
      <c r="E41" s="25" t="s">
        <v>33</v>
      </c>
      <c r="F41" s="105">
        <v>985.3</v>
      </c>
      <c r="G41" s="105">
        <v>1093.69</v>
      </c>
      <c r="H41" s="105">
        <v>394120.81</v>
      </c>
      <c r="I41" s="25">
        <v>1</v>
      </c>
    </row>
    <row r="42" spans="1:13" s="7" customFormat="1">
      <c r="A42" s="15" t="s">
        <v>138</v>
      </c>
      <c r="B42" s="25" t="s">
        <v>249</v>
      </c>
      <c r="C42" s="39">
        <v>75</v>
      </c>
      <c r="D42" s="9">
        <v>41442</v>
      </c>
      <c r="E42" s="25" t="s">
        <v>33</v>
      </c>
      <c r="F42" s="106">
        <v>741.1</v>
      </c>
      <c r="G42" s="106">
        <v>0</v>
      </c>
      <c r="H42" s="106">
        <v>185276</v>
      </c>
      <c r="I42" s="62">
        <v>1</v>
      </c>
    </row>
    <row r="43" spans="1:13" s="7" customFormat="1">
      <c r="A43" s="109" t="s">
        <v>270</v>
      </c>
      <c r="B43" s="110" t="s">
        <v>271</v>
      </c>
      <c r="C43" s="111">
        <v>87</v>
      </c>
      <c r="D43" s="115">
        <v>41451</v>
      </c>
      <c r="E43" s="110" t="s">
        <v>33</v>
      </c>
      <c r="F43" s="113">
        <v>655.29</v>
      </c>
      <c r="G43" s="113">
        <v>1061.57</v>
      </c>
      <c r="H43" s="113">
        <v>262115.65</v>
      </c>
      <c r="I43" s="114">
        <v>0.5</v>
      </c>
    </row>
    <row r="44" spans="1:13" s="7" customFormat="1">
      <c r="A44" s="109" t="s">
        <v>270</v>
      </c>
      <c r="B44" s="110" t="s">
        <v>273</v>
      </c>
      <c r="C44" s="116">
        <v>13</v>
      </c>
      <c r="D44" s="112">
        <v>41452</v>
      </c>
      <c r="E44" s="110" t="s">
        <v>33</v>
      </c>
      <c r="F44" s="113">
        <v>557.29</v>
      </c>
      <c r="G44" s="113">
        <v>902.8</v>
      </c>
      <c r="H44" s="113">
        <v>222914.63</v>
      </c>
      <c r="I44" s="117">
        <v>0.5</v>
      </c>
    </row>
    <row r="45" spans="1:13" s="7" customFormat="1">
      <c r="A45" s="15" t="s">
        <v>270</v>
      </c>
      <c r="B45" s="25" t="s">
        <v>271</v>
      </c>
      <c r="C45" s="39">
        <v>84</v>
      </c>
      <c r="D45" s="9">
        <v>41455</v>
      </c>
      <c r="E45" s="25" t="s">
        <v>33</v>
      </c>
      <c r="F45" s="10">
        <v>1006.25</v>
      </c>
      <c r="G45" s="10">
        <v>815.06</v>
      </c>
      <c r="H45" s="10">
        <v>402500</v>
      </c>
      <c r="I45" s="34">
        <v>1</v>
      </c>
    </row>
    <row r="46" spans="1:13" s="7" customFormat="1">
      <c r="A46" s="15" t="s">
        <v>270</v>
      </c>
      <c r="B46" s="25" t="s">
        <v>271</v>
      </c>
      <c r="C46" s="39">
        <v>65</v>
      </c>
      <c r="D46" s="9">
        <v>41451</v>
      </c>
      <c r="E46" s="25" t="s">
        <v>33</v>
      </c>
      <c r="F46" s="10">
        <v>1004.28</v>
      </c>
      <c r="G46" s="10">
        <v>813.47</v>
      </c>
      <c r="H46" s="10">
        <v>401713.27</v>
      </c>
      <c r="I46" s="34">
        <v>1</v>
      </c>
    </row>
    <row r="47" spans="1:13" s="7" customFormat="1">
      <c r="A47" s="15" t="s">
        <v>270</v>
      </c>
      <c r="B47" s="25" t="s">
        <v>273</v>
      </c>
      <c r="C47" s="39">
        <v>57</v>
      </c>
      <c r="D47" s="12">
        <v>41450</v>
      </c>
      <c r="E47" s="25" t="s">
        <v>33</v>
      </c>
      <c r="F47" s="10">
        <v>1251.32</v>
      </c>
      <c r="G47" s="10">
        <v>1013.57</v>
      </c>
      <c r="H47" s="10">
        <v>500528.43</v>
      </c>
      <c r="I47" s="34">
        <v>1</v>
      </c>
    </row>
    <row r="48" spans="1:13" s="7" customFormat="1">
      <c r="A48" s="15" t="s">
        <v>270</v>
      </c>
      <c r="B48" s="25" t="s">
        <v>271</v>
      </c>
      <c r="C48" s="39">
        <v>54</v>
      </c>
      <c r="D48" s="9">
        <v>41452</v>
      </c>
      <c r="E48" s="25" t="s">
        <v>33</v>
      </c>
      <c r="F48" s="10">
        <v>984.07</v>
      </c>
      <c r="G48" s="10">
        <v>797.1</v>
      </c>
      <c r="H48" s="10">
        <v>393628.07</v>
      </c>
      <c r="I48" s="62">
        <v>1</v>
      </c>
    </row>
    <row r="49" spans="1:13" s="7" customFormat="1">
      <c r="A49" s="15" t="s">
        <v>270</v>
      </c>
      <c r="B49" s="25" t="s">
        <v>273</v>
      </c>
      <c r="C49" s="39">
        <v>46</v>
      </c>
      <c r="D49" s="9">
        <v>41450</v>
      </c>
      <c r="E49" s="25" t="s">
        <v>33</v>
      </c>
      <c r="F49" s="10">
        <v>1216.18</v>
      </c>
      <c r="G49" s="10">
        <v>985.11</v>
      </c>
      <c r="H49" s="10">
        <v>486471.79</v>
      </c>
      <c r="I49" s="34">
        <v>1</v>
      </c>
    </row>
    <row r="50" spans="1:13" s="7" customFormat="1">
      <c r="A50" s="15" t="s">
        <v>270</v>
      </c>
      <c r="B50" s="25" t="s">
        <v>278</v>
      </c>
      <c r="C50" s="39">
        <v>83</v>
      </c>
      <c r="D50" s="9">
        <v>41451</v>
      </c>
      <c r="E50" s="25" t="s">
        <v>33</v>
      </c>
      <c r="F50" s="10">
        <v>1673.22</v>
      </c>
      <c r="G50" s="10">
        <v>853.34</v>
      </c>
      <c r="H50" s="10">
        <v>669289.18000000005</v>
      </c>
      <c r="I50" s="34">
        <v>1</v>
      </c>
    </row>
    <row r="51" spans="1:13" s="7" customFormat="1">
      <c r="A51" s="15" t="s">
        <v>145</v>
      </c>
      <c r="B51" s="25" t="s">
        <v>85</v>
      </c>
      <c r="C51" s="39">
        <v>1716</v>
      </c>
      <c r="D51" s="9">
        <v>41453</v>
      </c>
      <c r="E51" s="25" t="s">
        <v>33</v>
      </c>
      <c r="F51" s="10">
        <v>1012.93</v>
      </c>
      <c r="G51" s="10">
        <v>1124.3499999999999</v>
      </c>
      <c r="H51" s="10">
        <v>405170.97</v>
      </c>
      <c r="I51" s="34">
        <v>1</v>
      </c>
    </row>
    <row r="52" spans="1:13" s="7" customFormat="1">
      <c r="A52" s="15" t="s">
        <v>299</v>
      </c>
      <c r="B52" s="25" t="s">
        <v>85</v>
      </c>
      <c r="C52" s="39">
        <v>203</v>
      </c>
      <c r="D52" s="9">
        <v>41455</v>
      </c>
      <c r="E52" s="25" t="s">
        <v>33</v>
      </c>
      <c r="F52" s="10">
        <v>1858.5</v>
      </c>
      <c r="G52" s="10">
        <v>0</v>
      </c>
      <c r="H52" s="10">
        <v>371700</v>
      </c>
      <c r="I52" s="34">
        <v>1</v>
      </c>
    </row>
    <row r="53" spans="1:13" s="7" customFormat="1">
      <c r="A53" s="15" t="s">
        <v>138</v>
      </c>
      <c r="B53" s="25" t="s">
        <v>300</v>
      </c>
      <c r="C53" s="39">
        <v>35</v>
      </c>
      <c r="D53" s="9">
        <v>41453</v>
      </c>
      <c r="E53" s="25" t="s">
        <v>33</v>
      </c>
      <c r="F53" s="10">
        <v>889.33</v>
      </c>
      <c r="G53" s="10">
        <v>0</v>
      </c>
      <c r="H53" s="10">
        <v>222333.29</v>
      </c>
      <c r="I53" s="34">
        <v>1</v>
      </c>
    </row>
    <row r="54" spans="1:13" s="7" customFormat="1">
      <c r="A54" s="15" t="s">
        <v>116</v>
      </c>
      <c r="B54" s="25" t="s">
        <v>117</v>
      </c>
      <c r="C54" s="25">
        <v>105</v>
      </c>
      <c r="D54" s="98">
        <v>41437</v>
      </c>
      <c r="E54" s="25" t="s">
        <v>25</v>
      </c>
      <c r="F54" s="105">
        <f>H54*0.4%</f>
        <v>968.56407999999999</v>
      </c>
      <c r="G54" s="105">
        <f>1629.6-F54</f>
        <v>661.03591999999992</v>
      </c>
      <c r="H54" s="105">
        <v>242141.02</v>
      </c>
      <c r="I54" s="25">
        <v>1</v>
      </c>
    </row>
    <row r="55" spans="1:13" s="7" customFormat="1">
      <c r="A55" s="15" t="s">
        <v>146</v>
      </c>
      <c r="B55" s="25" t="s">
        <v>85</v>
      </c>
      <c r="C55" s="25">
        <v>1202</v>
      </c>
      <c r="D55" s="98">
        <v>41441</v>
      </c>
      <c r="E55" s="25" t="s">
        <v>25</v>
      </c>
      <c r="F55" s="105">
        <v>1244.97</v>
      </c>
      <c r="G55" s="105">
        <v>1727.39</v>
      </c>
      <c r="H55" s="105">
        <v>311241.55</v>
      </c>
      <c r="I55" s="25">
        <v>1</v>
      </c>
    </row>
    <row r="56" spans="1:13" s="7" customFormat="1">
      <c r="A56" s="15" t="s">
        <v>145</v>
      </c>
      <c r="B56" s="25" t="s">
        <v>85</v>
      </c>
      <c r="C56" s="39">
        <v>2408</v>
      </c>
      <c r="D56" s="98">
        <v>41445</v>
      </c>
      <c r="E56" s="25" t="s">
        <v>25</v>
      </c>
      <c r="F56" s="105">
        <v>967.2</v>
      </c>
      <c r="G56" s="105">
        <v>0</v>
      </c>
      <c r="H56" s="105">
        <v>241800</v>
      </c>
      <c r="I56" s="25">
        <v>0.5</v>
      </c>
    </row>
    <row r="57" spans="1:13" s="7" customFormat="1">
      <c r="A57" s="15" t="s">
        <v>146</v>
      </c>
      <c r="B57" s="25" t="s">
        <v>85</v>
      </c>
      <c r="C57" s="25">
        <v>409</v>
      </c>
      <c r="D57" s="98">
        <v>41445</v>
      </c>
      <c r="E57" s="25" t="s">
        <v>25</v>
      </c>
      <c r="F57" s="105">
        <v>892.8</v>
      </c>
      <c r="G57" s="105">
        <v>0</v>
      </c>
      <c r="H57" s="105">
        <v>223200</v>
      </c>
      <c r="I57" s="25">
        <v>0.5</v>
      </c>
    </row>
    <row r="58" spans="1:13" s="7" customFormat="1">
      <c r="A58" s="109" t="s">
        <v>270</v>
      </c>
      <c r="B58" s="110" t="s">
        <v>201</v>
      </c>
      <c r="C58" s="116" t="s">
        <v>294</v>
      </c>
      <c r="D58" s="112">
        <v>41451</v>
      </c>
      <c r="E58" s="110" t="s">
        <v>25</v>
      </c>
      <c r="F58" s="113">
        <v>54.24</v>
      </c>
      <c r="G58" s="113">
        <v>0</v>
      </c>
      <c r="H58" s="113">
        <v>13558.87</v>
      </c>
      <c r="I58" s="117">
        <v>0.5</v>
      </c>
      <c r="K58"/>
      <c r="L58"/>
      <c r="M58"/>
    </row>
    <row r="59" spans="1:13" s="7" customFormat="1">
      <c r="A59" s="109" t="s">
        <v>270</v>
      </c>
      <c r="B59" s="110" t="s">
        <v>273</v>
      </c>
      <c r="C59" s="111">
        <v>37</v>
      </c>
      <c r="D59" s="112">
        <v>41451</v>
      </c>
      <c r="E59" s="110" t="s">
        <v>25</v>
      </c>
      <c r="F59" s="113">
        <v>929.06</v>
      </c>
      <c r="G59" s="113">
        <v>940.67</v>
      </c>
      <c r="H59" s="113">
        <v>232264.44</v>
      </c>
      <c r="I59" s="117">
        <v>0.5</v>
      </c>
      <c r="K59"/>
      <c r="L59"/>
      <c r="M59"/>
    </row>
    <row r="60" spans="1:13" s="7" customFormat="1">
      <c r="A60" s="15" t="s">
        <v>270</v>
      </c>
      <c r="B60" s="25" t="s">
        <v>271</v>
      </c>
      <c r="C60" s="39">
        <v>74</v>
      </c>
      <c r="D60" s="9">
        <v>41451</v>
      </c>
      <c r="E60" s="25" t="s">
        <v>25</v>
      </c>
      <c r="F60" s="10">
        <v>1612.82</v>
      </c>
      <c r="G60" s="10">
        <v>1632.98</v>
      </c>
      <c r="H60" s="10">
        <v>403204.43</v>
      </c>
      <c r="I60" s="34">
        <v>1</v>
      </c>
      <c r="K60"/>
      <c r="L60"/>
      <c r="M60"/>
    </row>
    <row r="61" spans="1:13" s="7" customFormat="1">
      <c r="A61" s="15" t="s">
        <v>270</v>
      </c>
      <c r="B61" s="25" t="s">
        <v>272</v>
      </c>
      <c r="C61" s="39">
        <v>64</v>
      </c>
      <c r="D61" s="9">
        <v>41450</v>
      </c>
      <c r="E61" s="25" t="s">
        <v>25</v>
      </c>
      <c r="F61" s="100">
        <v>2664.88</v>
      </c>
      <c r="G61" s="10">
        <v>2698.19</v>
      </c>
      <c r="H61" s="10">
        <v>666220.05000000005</v>
      </c>
      <c r="I61" s="34">
        <v>1</v>
      </c>
      <c r="K61"/>
      <c r="L61"/>
      <c r="M61"/>
    </row>
    <row r="62" spans="1:13" s="7" customFormat="1">
      <c r="A62" s="15" t="s">
        <v>270</v>
      </c>
      <c r="B62" s="25" t="s">
        <v>273</v>
      </c>
      <c r="C62" s="39">
        <v>58</v>
      </c>
      <c r="D62" s="9">
        <v>41452</v>
      </c>
      <c r="E62" s="25" t="s">
        <v>25</v>
      </c>
      <c r="F62" s="10">
        <v>1525.89</v>
      </c>
      <c r="G62" s="10">
        <v>1544.97</v>
      </c>
      <c r="H62" s="10">
        <v>381473</v>
      </c>
      <c r="I62" s="34">
        <v>1</v>
      </c>
      <c r="K62"/>
      <c r="L62"/>
      <c r="M62"/>
    </row>
    <row r="63" spans="1:13">
      <c r="A63" s="15" t="s">
        <v>270</v>
      </c>
      <c r="B63" s="25" t="s">
        <v>201</v>
      </c>
      <c r="C63" s="42" t="s">
        <v>303</v>
      </c>
      <c r="D63" s="9">
        <v>41451</v>
      </c>
      <c r="E63" s="25" t="s">
        <v>25</v>
      </c>
      <c r="F63" s="10">
        <v>120</v>
      </c>
      <c r="G63" s="10">
        <v>0</v>
      </c>
      <c r="H63" s="10">
        <v>30000</v>
      </c>
      <c r="I63" s="62">
        <v>1</v>
      </c>
    </row>
    <row r="64" spans="1:13">
      <c r="A64" s="15" t="s">
        <v>270</v>
      </c>
      <c r="B64" s="25" t="s">
        <v>271</v>
      </c>
      <c r="C64" s="39">
        <v>83</v>
      </c>
      <c r="D64" s="9">
        <v>41451</v>
      </c>
      <c r="E64" s="25" t="s">
        <v>25</v>
      </c>
      <c r="F64" s="10">
        <v>2099.0500000000002</v>
      </c>
      <c r="G64" s="10">
        <v>2125.29</v>
      </c>
      <c r="H64" s="10">
        <v>524761.81000000006</v>
      </c>
      <c r="I64" s="62">
        <v>1</v>
      </c>
    </row>
    <row r="65" spans="1:13">
      <c r="A65" s="15" t="s">
        <v>270</v>
      </c>
      <c r="B65" s="25" t="s">
        <v>272</v>
      </c>
      <c r="C65" s="39">
        <v>33</v>
      </c>
      <c r="D65" s="9">
        <v>41453</v>
      </c>
      <c r="E65" s="25" t="s">
        <v>25</v>
      </c>
      <c r="F65" s="10">
        <v>2363.09</v>
      </c>
      <c r="G65" s="10">
        <v>2392.63</v>
      </c>
      <c r="H65" s="10">
        <v>590773.03</v>
      </c>
      <c r="I65" s="62">
        <v>1</v>
      </c>
    </row>
    <row r="66" spans="1:13">
      <c r="A66" s="15" t="s">
        <v>270</v>
      </c>
      <c r="B66" s="25" t="s">
        <v>273</v>
      </c>
      <c r="C66" s="39">
        <v>82</v>
      </c>
      <c r="D66" s="9">
        <v>41451</v>
      </c>
      <c r="E66" s="25" t="s">
        <v>25</v>
      </c>
      <c r="F66" s="10">
        <v>1968.13</v>
      </c>
      <c r="G66" s="10">
        <v>1992.73</v>
      </c>
      <c r="H66" s="10">
        <v>492032</v>
      </c>
      <c r="I66" s="34">
        <v>1</v>
      </c>
    </row>
    <row r="67" spans="1:13">
      <c r="A67" s="15" t="s">
        <v>270</v>
      </c>
      <c r="B67" s="25" t="s">
        <v>273</v>
      </c>
      <c r="C67" s="39">
        <v>62</v>
      </c>
      <c r="D67" s="9">
        <v>41451</v>
      </c>
      <c r="E67" s="25" t="s">
        <v>25</v>
      </c>
      <c r="F67" s="10">
        <v>2253.79</v>
      </c>
      <c r="G67" s="10">
        <v>0</v>
      </c>
      <c r="H67" s="10">
        <v>643938.86</v>
      </c>
      <c r="I67" s="34">
        <v>1</v>
      </c>
    </row>
    <row r="68" spans="1:13">
      <c r="A68" s="15" t="s">
        <v>270</v>
      </c>
      <c r="B68" s="25" t="s">
        <v>278</v>
      </c>
      <c r="C68" s="39">
        <v>34</v>
      </c>
      <c r="D68" s="9">
        <v>41455</v>
      </c>
      <c r="E68" s="25" t="s">
        <v>25</v>
      </c>
      <c r="F68" s="10">
        <v>2535.66</v>
      </c>
      <c r="G68" s="10">
        <v>2567.36</v>
      </c>
      <c r="H68" s="10">
        <v>633914.91</v>
      </c>
      <c r="I68" s="34">
        <v>1</v>
      </c>
    </row>
    <row r="69" spans="1:13">
      <c r="A69" s="15" t="s">
        <v>270</v>
      </c>
      <c r="B69" s="25" t="s">
        <v>271</v>
      </c>
      <c r="C69" s="39">
        <v>76</v>
      </c>
      <c r="D69" s="9">
        <v>41451</v>
      </c>
      <c r="E69" s="25" t="s">
        <v>25</v>
      </c>
      <c r="F69" s="10">
        <v>2035.76</v>
      </c>
      <c r="G69" s="10">
        <v>0</v>
      </c>
      <c r="H69" s="10">
        <v>508939.15</v>
      </c>
      <c r="I69" s="62">
        <v>1</v>
      </c>
    </row>
    <row r="70" spans="1:13">
      <c r="A70" s="15" t="s">
        <v>270</v>
      </c>
      <c r="B70" s="25" t="s">
        <v>271</v>
      </c>
      <c r="C70" s="42">
        <v>56</v>
      </c>
      <c r="D70" s="9">
        <v>41451</v>
      </c>
      <c r="E70" s="25" t="s">
        <v>25</v>
      </c>
      <c r="F70" s="10">
        <v>2031.81</v>
      </c>
      <c r="G70" s="10">
        <v>0</v>
      </c>
      <c r="H70" s="10">
        <v>507951.47</v>
      </c>
      <c r="I70" s="62">
        <v>1</v>
      </c>
    </row>
    <row r="71" spans="1:13">
      <c r="A71" s="15" t="s">
        <v>145</v>
      </c>
      <c r="B71" s="25" t="s">
        <v>85</v>
      </c>
      <c r="C71" s="39">
        <v>1201</v>
      </c>
      <c r="D71" s="9">
        <v>41441</v>
      </c>
      <c r="E71" s="25" t="s">
        <v>26</v>
      </c>
      <c r="F71" s="105">
        <v>1271.26</v>
      </c>
      <c r="G71" s="105">
        <v>2015.86</v>
      </c>
      <c r="H71" s="105">
        <v>363218.23</v>
      </c>
      <c r="I71" s="25">
        <v>1</v>
      </c>
    </row>
    <row r="72" spans="1:13">
      <c r="A72" s="15" t="s">
        <v>145</v>
      </c>
      <c r="B72" s="25" t="s">
        <v>85</v>
      </c>
      <c r="C72" s="39">
        <v>509</v>
      </c>
      <c r="D72" s="98">
        <v>41441</v>
      </c>
      <c r="E72" s="25" t="s">
        <v>26</v>
      </c>
      <c r="F72" s="105">
        <v>1660.92</v>
      </c>
      <c r="G72" s="105">
        <v>2633.74</v>
      </c>
      <c r="H72" s="105">
        <v>474548.59</v>
      </c>
      <c r="I72" s="25">
        <v>1</v>
      </c>
      <c r="K72" s="7"/>
      <c r="L72" s="7"/>
      <c r="M72" s="7"/>
    </row>
    <row r="73" spans="1:13">
      <c r="A73" s="15" t="s">
        <v>145</v>
      </c>
      <c r="B73" s="25" t="s">
        <v>85</v>
      </c>
      <c r="C73" s="39">
        <v>409</v>
      </c>
      <c r="D73" s="98">
        <v>41445</v>
      </c>
      <c r="E73" s="25" t="s">
        <v>26</v>
      </c>
      <c r="F73" s="105">
        <v>781.2</v>
      </c>
      <c r="G73" s="105">
        <v>0</v>
      </c>
      <c r="H73" s="105">
        <v>223200</v>
      </c>
      <c r="I73" s="25">
        <v>0.5</v>
      </c>
    </row>
    <row r="74" spans="1:13">
      <c r="A74" s="15" t="s">
        <v>145</v>
      </c>
      <c r="B74" s="25" t="s">
        <v>85</v>
      </c>
      <c r="C74" s="39">
        <v>2408</v>
      </c>
      <c r="D74" s="98">
        <v>41445</v>
      </c>
      <c r="E74" s="25" t="s">
        <v>26</v>
      </c>
      <c r="F74" s="105">
        <v>846.3</v>
      </c>
      <c r="G74" s="105">
        <v>0</v>
      </c>
      <c r="H74" s="105">
        <v>241800</v>
      </c>
      <c r="I74" s="25">
        <v>0.5</v>
      </c>
    </row>
    <row r="75" spans="1:13">
      <c r="A75" s="11" t="s">
        <v>57</v>
      </c>
      <c r="B75" s="25" t="s">
        <v>254</v>
      </c>
      <c r="C75" s="25">
        <v>196</v>
      </c>
      <c r="D75" s="98">
        <v>41439</v>
      </c>
      <c r="E75" s="25" t="s">
        <v>26</v>
      </c>
      <c r="F75" s="105">
        <v>1167.3</v>
      </c>
      <c r="G75" s="105">
        <v>0</v>
      </c>
      <c r="H75" s="105">
        <v>333514.5</v>
      </c>
      <c r="I75" s="25">
        <v>1</v>
      </c>
    </row>
    <row r="76" spans="1:13" s="7" customFormat="1">
      <c r="A76" s="11" t="s">
        <v>269</v>
      </c>
      <c r="B76" s="25" t="s">
        <v>85</v>
      </c>
      <c r="C76" s="25">
        <v>151</v>
      </c>
      <c r="D76" s="98">
        <v>41439</v>
      </c>
      <c r="E76" s="25" t="s">
        <v>26</v>
      </c>
      <c r="F76" s="105">
        <f>H76*0.35%</f>
        <v>1988.8749999999998</v>
      </c>
      <c r="G76" s="105">
        <v>0</v>
      </c>
      <c r="H76" s="105">
        <v>568250</v>
      </c>
      <c r="I76" s="25">
        <v>0.25</v>
      </c>
      <c r="K76"/>
      <c r="L76"/>
      <c r="M76"/>
    </row>
    <row r="77" spans="1:13">
      <c r="A77" s="11" t="s">
        <v>269</v>
      </c>
      <c r="B77" s="25" t="s">
        <v>82</v>
      </c>
      <c r="C77" s="25">
        <v>131</v>
      </c>
      <c r="D77" s="98">
        <v>41452</v>
      </c>
      <c r="E77" s="25" t="s">
        <v>26</v>
      </c>
      <c r="F77" s="105">
        <f>H77*0.35%</f>
        <v>8049.9999999999991</v>
      </c>
      <c r="G77" s="105">
        <f>20815-F77</f>
        <v>12765</v>
      </c>
      <c r="H77" s="105">
        <v>2300000</v>
      </c>
      <c r="I77" s="25">
        <v>1</v>
      </c>
    </row>
    <row r="78" spans="1:13">
      <c r="A78" s="15" t="s">
        <v>270</v>
      </c>
      <c r="B78" s="25" t="s">
        <v>271</v>
      </c>
      <c r="C78" s="39">
        <v>14</v>
      </c>
      <c r="D78" s="12">
        <v>41451</v>
      </c>
      <c r="E78" s="25" t="s">
        <v>26</v>
      </c>
      <c r="F78" s="10">
        <v>1357.75</v>
      </c>
      <c r="G78" s="10">
        <v>1571.11</v>
      </c>
      <c r="H78" s="10">
        <v>387928.72</v>
      </c>
      <c r="I78" s="34">
        <v>1</v>
      </c>
    </row>
    <row r="79" spans="1:13">
      <c r="A79" s="15" t="s">
        <v>270</v>
      </c>
      <c r="B79" s="25" t="s">
        <v>273</v>
      </c>
      <c r="C79" s="39">
        <v>42</v>
      </c>
      <c r="D79" s="12">
        <v>41452</v>
      </c>
      <c r="E79" s="25" t="s">
        <v>26</v>
      </c>
      <c r="F79" s="10">
        <v>1542.59</v>
      </c>
      <c r="G79" s="10">
        <v>1785</v>
      </c>
      <c r="H79" s="10">
        <v>440740.51</v>
      </c>
      <c r="I79" s="34">
        <v>1</v>
      </c>
      <c r="K79" s="7"/>
      <c r="L79" s="7"/>
      <c r="M79" s="7"/>
    </row>
    <row r="80" spans="1:13">
      <c r="A80" s="15" t="s">
        <v>270</v>
      </c>
      <c r="B80" s="25" t="s">
        <v>273</v>
      </c>
      <c r="C80" s="39">
        <v>66</v>
      </c>
      <c r="D80" s="12">
        <v>41451</v>
      </c>
      <c r="E80" s="25" t="s">
        <v>26</v>
      </c>
      <c r="F80" s="10">
        <v>1523.4</v>
      </c>
      <c r="G80" s="10">
        <v>1762.79</v>
      </c>
      <c r="H80" s="10">
        <v>435257.82</v>
      </c>
      <c r="I80" s="34">
        <v>1</v>
      </c>
      <c r="K80" s="7"/>
      <c r="L80" s="7"/>
      <c r="M80" s="7"/>
    </row>
    <row r="81" spans="1:13">
      <c r="A81" s="15" t="s">
        <v>270</v>
      </c>
      <c r="B81" s="25" t="s">
        <v>273</v>
      </c>
      <c r="C81" s="39">
        <v>72</v>
      </c>
      <c r="D81" s="12">
        <v>41455</v>
      </c>
      <c r="E81" s="25" t="s">
        <v>26</v>
      </c>
      <c r="F81" s="10">
        <v>1657.49</v>
      </c>
      <c r="G81" s="10">
        <v>1917.95</v>
      </c>
      <c r="H81" s="10">
        <v>473568.86</v>
      </c>
      <c r="I81" s="34">
        <v>1</v>
      </c>
    </row>
    <row r="82" spans="1:13">
      <c r="A82" s="15" t="s">
        <v>270</v>
      </c>
      <c r="B82" s="25" t="s">
        <v>273</v>
      </c>
      <c r="C82" s="39">
        <v>75</v>
      </c>
      <c r="D82" s="12">
        <v>41451</v>
      </c>
      <c r="E82" s="25" t="s">
        <v>26</v>
      </c>
      <c r="F82" s="10">
        <v>1330.6</v>
      </c>
      <c r="G82" s="10">
        <v>1539.7</v>
      </c>
      <c r="H82" s="10">
        <v>380172.25</v>
      </c>
      <c r="I82" s="34">
        <v>1</v>
      </c>
    </row>
    <row r="83" spans="1:13">
      <c r="A83" s="15" t="s">
        <v>270</v>
      </c>
      <c r="B83" s="25" t="s">
        <v>273</v>
      </c>
      <c r="C83" s="39">
        <v>76</v>
      </c>
      <c r="D83" s="12">
        <v>41451</v>
      </c>
      <c r="E83" s="25" t="s">
        <v>26</v>
      </c>
      <c r="F83" s="10">
        <v>1734.8</v>
      </c>
      <c r="G83" s="10">
        <v>2007.41</v>
      </c>
      <c r="H83" s="10">
        <v>495656.89</v>
      </c>
      <c r="I83" s="34">
        <v>1</v>
      </c>
      <c r="K83" s="7"/>
      <c r="L83" s="7"/>
      <c r="M83" s="7"/>
    </row>
    <row r="84" spans="1:13" s="7" customFormat="1">
      <c r="A84" s="15" t="s">
        <v>270</v>
      </c>
      <c r="B84" s="25" t="s">
        <v>273</v>
      </c>
      <c r="C84" s="39">
        <v>82</v>
      </c>
      <c r="D84" s="12">
        <v>41451</v>
      </c>
      <c r="E84" s="25" t="s">
        <v>26</v>
      </c>
      <c r="F84" s="10">
        <v>1727.25</v>
      </c>
      <c r="G84" s="10">
        <v>1495.31</v>
      </c>
      <c r="H84" s="10">
        <v>493500</v>
      </c>
      <c r="I84" s="34">
        <v>1</v>
      </c>
    </row>
    <row r="85" spans="1:13" s="7" customFormat="1">
      <c r="A85" s="15" t="s">
        <v>191</v>
      </c>
      <c r="B85" s="25" t="s">
        <v>117</v>
      </c>
      <c r="C85" s="39">
        <v>131</v>
      </c>
      <c r="D85" s="9">
        <v>41444</v>
      </c>
      <c r="E85" s="25" t="s">
        <v>24</v>
      </c>
      <c r="F85" s="105">
        <v>798</v>
      </c>
      <c r="G85" s="105">
        <v>0</v>
      </c>
      <c r="H85" s="105">
        <v>228000</v>
      </c>
      <c r="I85" s="25">
        <v>1</v>
      </c>
    </row>
    <row r="86" spans="1:13">
      <c r="A86" s="15" t="s">
        <v>265</v>
      </c>
      <c r="B86" s="25" t="s">
        <v>85</v>
      </c>
      <c r="C86" s="39">
        <v>211</v>
      </c>
      <c r="D86" s="9">
        <v>41446</v>
      </c>
      <c r="E86" s="25" t="s">
        <v>24</v>
      </c>
      <c r="F86" s="105">
        <v>7175</v>
      </c>
      <c r="G86" s="105">
        <v>0</v>
      </c>
      <c r="H86" s="105">
        <v>2050000</v>
      </c>
      <c r="I86" s="25">
        <v>1</v>
      </c>
      <c r="K86" s="7"/>
      <c r="L86" s="7"/>
      <c r="M86" s="7"/>
    </row>
    <row r="87" spans="1:13">
      <c r="A87" s="15" t="s">
        <v>208</v>
      </c>
      <c r="B87" s="25" t="s">
        <v>226</v>
      </c>
      <c r="C87" s="39">
        <v>163</v>
      </c>
      <c r="D87" s="9">
        <v>41448</v>
      </c>
      <c r="E87" s="25" t="s">
        <v>24</v>
      </c>
      <c r="F87" s="105">
        <v>846.44</v>
      </c>
      <c r="G87" s="105">
        <v>0</v>
      </c>
      <c r="H87" s="105">
        <v>241840</v>
      </c>
      <c r="I87" s="25">
        <v>1</v>
      </c>
      <c r="K87" s="7"/>
      <c r="L87" s="7"/>
      <c r="M87" s="7"/>
    </row>
    <row r="88" spans="1:13" s="7" customFormat="1">
      <c r="A88" s="15" t="s">
        <v>81</v>
      </c>
      <c r="B88" s="25" t="s">
        <v>85</v>
      </c>
      <c r="C88" s="39">
        <v>101</v>
      </c>
      <c r="D88" s="9">
        <v>41453</v>
      </c>
      <c r="E88" s="25" t="s">
        <v>24</v>
      </c>
      <c r="F88" s="10">
        <f>H88*0.35%</f>
        <v>1775.1299999999999</v>
      </c>
      <c r="G88" s="10">
        <f>3068.44-F88</f>
        <v>1293.3100000000002</v>
      </c>
      <c r="H88" s="10">
        <v>507180</v>
      </c>
      <c r="I88" s="62">
        <v>1</v>
      </c>
    </row>
    <row r="89" spans="1:13" s="7" customFormat="1">
      <c r="A89" s="15" t="s">
        <v>81</v>
      </c>
      <c r="B89" s="25" t="s">
        <v>85</v>
      </c>
      <c r="C89" s="39">
        <v>131</v>
      </c>
      <c r="D89" s="9">
        <v>41453</v>
      </c>
      <c r="E89" s="25" t="s">
        <v>24</v>
      </c>
      <c r="F89" s="10">
        <f>H89*0.35%</f>
        <v>1811.8134999999997</v>
      </c>
      <c r="G89" s="10">
        <f>3287.15-F89</f>
        <v>1475.3365000000003</v>
      </c>
      <c r="H89" s="10">
        <v>517661</v>
      </c>
      <c r="I89" s="62">
        <v>1</v>
      </c>
    </row>
    <row r="90" spans="1:13" s="7" customFormat="1">
      <c r="A90" s="11" t="s">
        <v>269</v>
      </c>
      <c r="B90" s="25" t="s">
        <v>85</v>
      </c>
      <c r="C90" s="25">
        <v>151</v>
      </c>
      <c r="D90" s="98">
        <v>41439</v>
      </c>
      <c r="E90" s="25" t="s">
        <v>24</v>
      </c>
      <c r="F90" s="105">
        <f>H90*0.35%</f>
        <v>1988.8749999999998</v>
      </c>
      <c r="G90" s="105">
        <v>0</v>
      </c>
      <c r="H90" s="105">
        <v>568250</v>
      </c>
      <c r="I90" s="25">
        <v>0.25</v>
      </c>
    </row>
    <row r="91" spans="1:13" s="7" customFormat="1">
      <c r="A91" s="109" t="s">
        <v>270</v>
      </c>
      <c r="B91" s="110" t="s">
        <v>271</v>
      </c>
      <c r="C91" s="111">
        <v>2</v>
      </c>
      <c r="D91" s="112">
        <v>41455</v>
      </c>
      <c r="E91" s="110" t="s">
        <v>24</v>
      </c>
      <c r="F91" s="113">
        <v>851.99</v>
      </c>
      <c r="G91" s="113">
        <v>985.87</v>
      </c>
      <c r="H91" s="113">
        <v>243425</v>
      </c>
      <c r="I91" s="114">
        <v>0.5</v>
      </c>
    </row>
    <row r="92" spans="1:13" s="7" customFormat="1">
      <c r="A92" s="15" t="s">
        <v>270</v>
      </c>
      <c r="B92" s="25" t="s">
        <v>272</v>
      </c>
      <c r="C92" s="39">
        <v>31</v>
      </c>
      <c r="D92" s="9">
        <v>41451</v>
      </c>
      <c r="E92" s="25" t="s">
        <v>24</v>
      </c>
      <c r="F92" s="105">
        <v>2286.27</v>
      </c>
      <c r="G92" s="105">
        <v>2645.55</v>
      </c>
      <c r="H92" s="105">
        <v>653221.06000000006</v>
      </c>
      <c r="I92" s="25">
        <v>1</v>
      </c>
    </row>
    <row r="93" spans="1:13" s="7" customFormat="1">
      <c r="A93" s="15" t="s">
        <v>270</v>
      </c>
      <c r="B93" s="25" t="s">
        <v>271</v>
      </c>
      <c r="C93" s="39">
        <v>32</v>
      </c>
      <c r="D93" s="9">
        <v>41452</v>
      </c>
      <c r="E93" s="25" t="s">
        <v>24</v>
      </c>
      <c r="F93" s="10">
        <v>1557.29</v>
      </c>
      <c r="G93" s="10">
        <v>1802.01</v>
      </c>
      <c r="H93" s="10">
        <v>444940.89</v>
      </c>
      <c r="I93" s="34">
        <v>1</v>
      </c>
    </row>
    <row r="94" spans="1:13" s="7" customFormat="1">
      <c r="A94" s="15" t="s">
        <v>270</v>
      </c>
      <c r="B94" s="25" t="s">
        <v>272</v>
      </c>
      <c r="C94" s="39">
        <v>83</v>
      </c>
      <c r="D94" s="9">
        <v>41453</v>
      </c>
      <c r="E94" s="25" t="s">
        <v>24</v>
      </c>
      <c r="F94" s="10">
        <v>2268.3739999999998</v>
      </c>
      <c r="G94" s="10">
        <v>2625.25</v>
      </c>
      <c r="H94" s="10">
        <v>648210.23</v>
      </c>
      <c r="I94" s="34">
        <v>1</v>
      </c>
    </row>
    <row r="95" spans="1:13" s="7" customFormat="1">
      <c r="A95" s="15" t="s">
        <v>270</v>
      </c>
      <c r="B95" s="25" t="s">
        <v>273</v>
      </c>
      <c r="C95" s="39">
        <v>87</v>
      </c>
      <c r="D95" s="9">
        <v>41451</v>
      </c>
      <c r="E95" s="25" t="s">
        <v>24</v>
      </c>
      <c r="F95" s="10">
        <v>1689.86</v>
      </c>
      <c r="G95" s="10">
        <v>1955.41</v>
      </c>
      <c r="H95" s="10">
        <v>482818.43</v>
      </c>
      <c r="I95" s="34">
        <v>1</v>
      </c>
      <c r="K95"/>
      <c r="L95"/>
      <c r="M95"/>
    </row>
    <row r="96" spans="1:13" s="7" customFormat="1">
      <c r="A96" s="15" t="s">
        <v>145</v>
      </c>
      <c r="B96" s="25" t="s">
        <v>82</v>
      </c>
      <c r="C96" s="39">
        <v>2107</v>
      </c>
      <c r="D96" s="9">
        <v>41449</v>
      </c>
      <c r="E96" s="12" t="s">
        <v>23</v>
      </c>
      <c r="F96" s="10">
        <v>1432.69</v>
      </c>
      <c r="G96" s="10">
        <v>2271.84</v>
      </c>
      <c r="H96" s="10">
        <v>409340.23</v>
      </c>
      <c r="I96" s="62">
        <v>1</v>
      </c>
      <c r="K96"/>
      <c r="L96"/>
      <c r="M96"/>
    </row>
    <row r="97" spans="1:13" s="7" customFormat="1">
      <c r="A97" s="15" t="s">
        <v>145</v>
      </c>
      <c r="B97" s="25" t="s">
        <v>82</v>
      </c>
      <c r="C97" s="39">
        <v>1907</v>
      </c>
      <c r="D97" s="9">
        <v>41449</v>
      </c>
      <c r="E97" s="12" t="s">
        <v>23</v>
      </c>
      <c r="F97" s="10">
        <v>1416.65</v>
      </c>
      <c r="G97" s="10">
        <v>2246.41</v>
      </c>
      <c r="H97" s="10">
        <v>404758.25</v>
      </c>
      <c r="I97" s="62">
        <v>1</v>
      </c>
      <c r="K97"/>
      <c r="L97"/>
      <c r="M97"/>
    </row>
    <row r="98" spans="1:13" s="7" customFormat="1">
      <c r="A98" s="15" t="s">
        <v>145</v>
      </c>
      <c r="B98" s="25" t="s">
        <v>82</v>
      </c>
      <c r="C98" s="39">
        <v>1604</v>
      </c>
      <c r="D98" s="9">
        <v>41446</v>
      </c>
      <c r="E98" s="12" t="s">
        <v>23</v>
      </c>
      <c r="F98" s="10">
        <v>1790.11</v>
      </c>
      <c r="G98" s="10">
        <v>2838.61</v>
      </c>
      <c r="H98" s="10">
        <v>511460.85</v>
      </c>
      <c r="I98" s="62">
        <v>1</v>
      </c>
    </row>
    <row r="99" spans="1:13" s="7" customFormat="1">
      <c r="A99" s="15" t="s">
        <v>270</v>
      </c>
      <c r="B99" s="25" t="s">
        <v>271</v>
      </c>
      <c r="C99" s="39">
        <v>7</v>
      </c>
      <c r="D99" s="9">
        <v>41451</v>
      </c>
      <c r="E99" s="12" t="s">
        <v>23</v>
      </c>
      <c r="F99" s="10">
        <v>1728.66</v>
      </c>
      <c r="G99" s="10">
        <v>2000.31</v>
      </c>
      <c r="H99" s="10">
        <v>493903.91</v>
      </c>
      <c r="I99" s="62">
        <v>1</v>
      </c>
      <c r="K99"/>
      <c r="L99"/>
      <c r="M99"/>
    </row>
    <row r="100" spans="1:13">
      <c r="A100" s="15" t="s">
        <v>270</v>
      </c>
      <c r="B100" s="25" t="s">
        <v>201</v>
      </c>
      <c r="C100" s="42" t="s">
        <v>293</v>
      </c>
      <c r="D100" s="9">
        <v>41451</v>
      </c>
      <c r="E100" s="12" t="s">
        <v>23</v>
      </c>
      <c r="F100" s="10">
        <v>105.26</v>
      </c>
      <c r="G100" s="10">
        <v>0</v>
      </c>
      <c r="H100" s="10">
        <v>30073.439999999999</v>
      </c>
      <c r="I100" s="62">
        <v>1</v>
      </c>
    </row>
    <row r="101" spans="1:13">
      <c r="A101" s="109" t="s">
        <v>270</v>
      </c>
      <c r="B101" s="110" t="s">
        <v>201</v>
      </c>
      <c r="C101" s="116" t="s">
        <v>294</v>
      </c>
      <c r="D101" s="112">
        <v>41451</v>
      </c>
      <c r="E101" s="115" t="s">
        <v>23</v>
      </c>
      <c r="F101" s="113">
        <v>47.46</v>
      </c>
      <c r="G101" s="113">
        <v>0</v>
      </c>
      <c r="H101" s="113">
        <v>13558.87</v>
      </c>
      <c r="I101" s="117">
        <v>0.5</v>
      </c>
    </row>
    <row r="102" spans="1:13" s="7" customFormat="1">
      <c r="A102" s="109" t="s">
        <v>270</v>
      </c>
      <c r="B102" s="110" t="s">
        <v>273</v>
      </c>
      <c r="C102" s="111">
        <v>37</v>
      </c>
      <c r="D102" s="112">
        <v>41451</v>
      </c>
      <c r="E102" s="115" t="s">
        <v>23</v>
      </c>
      <c r="F102" s="113">
        <v>812.93</v>
      </c>
      <c r="G102" s="113">
        <v>940.67</v>
      </c>
      <c r="H102" s="113">
        <v>232264.44</v>
      </c>
      <c r="I102" s="117">
        <v>0.5</v>
      </c>
      <c r="K102"/>
      <c r="L102"/>
      <c r="M102"/>
    </row>
    <row r="103" spans="1:13">
      <c r="A103" s="15" t="s">
        <v>270</v>
      </c>
      <c r="B103" s="25" t="s">
        <v>271</v>
      </c>
      <c r="C103" s="39">
        <v>34</v>
      </c>
      <c r="D103" s="9">
        <v>41455</v>
      </c>
      <c r="E103" s="12" t="s">
        <v>23</v>
      </c>
      <c r="F103" s="10">
        <v>1385.32</v>
      </c>
      <c r="G103" s="10">
        <v>1603.01</v>
      </c>
      <c r="H103" s="10">
        <v>395805.16</v>
      </c>
      <c r="I103" s="62">
        <v>1</v>
      </c>
    </row>
    <row r="104" spans="1:13">
      <c r="A104" s="15" t="s">
        <v>270</v>
      </c>
      <c r="B104" s="25" t="s">
        <v>273</v>
      </c>
      <c r="C104" s="42">
        <v>31</v>
      </c>
      <c r="D104" s="9">
        <v>41455</v>
      </c>
      <c r="E104" s="12" t="s">
        <v>23</v>
      </c>
      <c r="F104" s="10">
        <v>1351.91</v>
      </c>
      <c r="G104" s="10">
        <v>984.96</v>
      </c>
      <c r="H104" s="10">
        <v>386260.76</v>
      </c>
      <c r="I104" s="62">
        <v>1</v>
      </c>
    </row>
    <row r="105" spans="1:13">
      <c r="A105" s="15" t="s">
        <v>270</v>
      </c>
      <c r="B105" s="25" t="s">
        <v>273</v>
      </c>
      <c r="C105" s="42">
        <v>68</v>
      </c>
      <c r="D105" s="9">
        <v>41452</v>
      </c>
      <c r="E105" s="12" t="s">
        <v>23</v>
      </c>
      <c r="F105" s="10">
        <v>1286.58</v>
      </c>
      <c r="G105" s="10">
        <v>1488.76</v>
      </c>
      <c r="H105" s="10">
        <v>367594.19</v>
      </c>
      <c r="I105" s="62">
        <v>1</v>
      </c>
    </row>
    <row r="106" spans="1:13">
      <c r="A106" s="15" t="s">
        <v>270</v>
      </c>
      <c r="B106" s="25" t="s">
        <v>278</v>
      </c>
      <c r="C106" s="39">
        <v>74</v>
      </c>
      <c r="D106" s="9">
        <v>41450</v>
      </c>
      <c r="E106" s="12" t="s">
        <v>23</v>
      </c>
      <c r="F106" s="10">
        <v>2262.85</v>
      </c>
      <c r="G106" s="10">
        <v>2618.4499999999998</v>
      </c>
      <c r="H106" s="10">
        <v>646529.66</v>
      </c>
      <c r="I106" s="34">
        <v>1</v>
      </c>
    </row>
    <row r="107" spans="1:13">
      <c r="A107" s="109" t="s">
        <v>270</v>
      </c>
      <c r="B107" s="110" t="s">
        <v>273</v>
      </c>
      <c r="C107" s="116">
        <v>13</v>
      </c>
      <c r="D107" s="112">
        <v>41452</v>
      </c>
      <c r="E107" s="115" t="s">
        <v>23</v>
      </c>
      <c r="F107" s="113">
        <v>780.2</v>
      </c>
      <c r="G107" s="113">
        <v>902.8</v>
      </c>
      <c r="H107" s="113">
        <v>222914.63</v>
      </c>
      <c r="I107" s="117">
        <v>0.5</v>
      </c>
    </row>
    <row r="108" spans="1:13">
      <c r="A108" s="11"/>
      <c r="B108" s="25"/>
      <c r="C108" s="25"/>
      <c r="D108" s="25"/>
      <c r="E108" s="25"/>
      <c r="F108" s="89"/>
      <c r="G108" s="89"/>
      <c r="H108" s="89"/>
      <c r="I108" s="25"/>
    </row>
    <row r="109" spans="1:13">
      <c r="A109" s="15"/>
      <c r="B109" s="25"/>
      <c r="C109" s="39"/>
      <c r="D109" s="12"/>
      <c r="E109" s="12"/>
      <c r="F109" s="87"/>
      <c r="G109" s="87"/>
      <c r="H109" s="87"/>
      <c r="I109" s="97"/>
    </row>
    <row r="110" spans="1:13">
      <c r="A110" s="11"/>
      <c r="B110" s="25"/>
      <c r="C110" s="25"/>
      <c r="D110" s="25"/>
      <c r="E110" s="25"/>
      <c r="F110" s="89"/>
      <c r="G110" s="89"/>
      <c r="H110" s="89">
        <f>SUM(H3:H109)</f>
        <v>45098148.219999976</v>
      </c>
      <c r="I110" s="25">
        <f>SUM(I3:I109)</f>
        <v>93.5</v>
      </c>
    </row>
    <row r="111" spans="1:13">
      <c r="B111" s="7"/>
      <c r="C111" s="7"/>
      <c r="D111" s="7"/>
      <c r="E111" s="7"/>
      <c r="F111" s="7"/>
    </row>
    <row r="112" spans="1:13">
      <c r="H112" s="5"/>
    </row>
  </sheetData>
  <sheetProtection password="CC53" sheet="1" objects="1" scenarios="1"/>
  <autoFilter ref="A2:I2">
    <sortState ref="A3:I7">
      <sortCondition ref="E2"/>
    </sortState>
  </autoFilter>
  <mergeCells count="2">
    <mergeCell ref="K2:M2"/>
    <mergeCell ref="K18:M18"/>
  </mergeCells>
  <pageMargins left="0.51181102362204722" right="0.51181102362204722" top="0.78740157480314965" bottom="0.78740157480314965" header="0.31496062992125984" footer="0.31496062992125984"/>
  <pageSetup paperSize="9" scale="7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D25" sqref="D25"/>
    </sheetView>
  </sheetViews>
  <sheetFormatPr defaultRowHeight="14.4"/>
  <cols>
    <col min="1" max="1" width="9.109375" style="170"/>
    <col min="2" max="2" width="11.5546875" bestFit="1" customWidth="1"/>
    <col min="3" max="3" width="11.5546875" style="170" customWidth="1"/>
    <col min="4" max="4" width="13.88671875" style="170" bestFit="1" customWidth="1"/>
    <col min="5" max="5" width="11.109375" bestFit="1" customWidth="1"/>
    <col min="6" max="6" width="11.109375" style="170" customWidth="1"/>
    <col min="7" max="7" width="13.88671875" style="170" bestFit="1" customWidth="1"/>
    <col min="8" max="8" width="24.88671875" bestFit="1" customWidth="1"/>
    <col min="11" max="11" width="11.5546875" bestFit="1" customWidth="1"/>
    <col min="12" max="12" width="11.109375" bestFit="1" customWidth="1"/>
    <col min="13" max="13" width="24.88671875" bestFit="1" customWidth="1"/>
  </cols>
  <sheetData>
    <row r="1" spans="2:11" ht="15" thickBot="1">
      <c r="B1" s="168"/>
    </row>
    <row r="2" spans="2:11">
      <c r="B2" s="226" t="s">
        <v>394</v>
      </c>
      <c r="C2" s="227"/>
      <c r="D2" s="227"/>
      <c r="E2" s="228"/>
      <c r="F2" s="228"/>
      <c r="G2" s="228"/>
      <c r="H2" s="228"/>
      <c r="I2" s="229"/>
      <c r="J2" s="170"/>
    </row>
    <row r="3" spans="2:11" ht="15" thickBot="1">
      <c r="B3" s="230"/>
      <c r="C3" s="231"/>
      <c r="D3" s="231"/>
      <c r="E3" s="232"/>
      <c r="F3" s="232"/>
      <c r="G3" s="232"/>
      <c r="H3" s="232"/>
      <c r="I3" s="233"/>
      <c r="J3" s="171"/>
    </row>
    <row r="4" spans="2:11" ht="15" thickBot="1">
      <c r="B4" s="177">
        <v>2013</v>
      </c>
      <c r="C4" s="194" t="s">
        <v>331</v>
      </c>
      <c r="D4" s="194" t="s">
        <v>332</v>
      </c>
      <c r="E4" s="178" t="s">
        <v>395</v>
      </c>
      <c r="F4" s="194" t="s">
        <v>331</v>
      </c>
      <c r="G4" s="194" t="s">
        <v>332</v>
      </c>
      <c r="H4" s="178" t="s">
        <v>396</v>
      </c>
      <c r="I4" s="179" t="s">
        <v>397</v>
      </c>
      <c r="J4" s="170"/>
    </row>
    <row r="5" spans="2:11">
      <c r="B5" s="175" t="s">
        <v>405</v>
      </c>
      <c r="C5" s="181">
        <v>9996156.7000000011</v>
      </c>
      <c r="D5" s="196">
        <v>0</v>
      </c>
      <c r="E5" s="181">
        <v>9996156.7000000011</v>
      </c>
      <c r="F5" s="182">
        <v>4866993.88</v>
      </c>
      <c r="G5" s="181">
        <v>0</v>
      </c>
      <c r="H5" s="184">
        <v>14863150.58</v>
      </c>
      <c r="I5" s="176">
        <f>E5/H5</f>
        <v>0.67254628459802634</v>
      </c>
      <c r="J5" s="170"/>
      <c r="K5" s="163"/>
    </row>
    <row r="6" spans="2:11">
      <c r="B6" s="173" t="s">
        <v>406</v>
      </c>
      <c r="C6" s="182">
        <v>12780414.57</v>
      </c>
      <c r="D6" s="197">
        <v>0</v>
      </c>
      <c r="E6" s="182">
        <v>12780414.57</v>
      </c>
      <c r="F6" s="182">
        <v>712569</v>
      </c>
      <c r="G6" s="182">
        <v>0</v>
      </c>
      <c r="H6" s="185">
        <v>13492984</v>
      </c>
      <c r="I6" s="176">
        <f t="shared" ref="I6:I16" si="0">E6/H6</f>
        <v>0.94718963351620367</v>
      </c>
      <c r="J6" s="170"/>
      <c r="K6" s="163"/>
    </row>
    <row r="7" spans="2:11">
      <c r="B7" s="173" t="s">
        <v>407</v>
      </c>
      <c r="C7" s="197">
        <v>15396930.01</v>
      </c>
      <c r="D7" s="197">
        <f>E7-C7</f>
        <v>41606174.100000001</v>
      </c>
      <c r="E7" s="182">
        <v>57003104.109999999</v>
      </c>
      <c r="F7" s="182">
        <v>1438212.34</v>
      </c>
      <c r="G7" s="182">
        <f>H7-F7-E7</f>
        <v>33033556.289999992</v>
      </c>
      <c r="H7" s="185">
        <v>91474872.739999995</v>
      </c>
      <c r="I7" s="176">
        <f t="shared" si="0"/>
        <v>0.62315587223630831</v>
      </c>
      <c r="J7" s="170"/>
      <c r="K7" s="163"/>
    </row>
    <row r="8" spans="2:11">
      <c r="B8" s="173" t="s">
        <v>408</v>
      </c>
      <c r="C8" s="182">
        <v>19936067.27</v>
      </c>
      <c r="D8" s="197">
        <v>0</v>
      </c>
      <c r="E8" s="182">
        <v>19936067.27</v>
      </c>
      <c r="F8" s="182">
        <v>6211984.7199999997</v>
      </c>
      <c r="G8" s="182">
        <v>0</v>
      </c>
      <c r="H8" s="186">
        <v>26148051.989999998</v>
      </c>
      <c r="I8" s="176">
        <f t="shared" si="0"/>
        <v>0.76243030561604752</v>
      </c>
      <c r="J8" s="170"/>
      <c r="K8" s="163"/>
    </row>
    <row r="9" spans="2:11">
      <c r="B9" s="173" t="s">
        <v>409</v>
      </c>
      <c r="C9" s="197">
        <f>E9-D9</f>
        <v>15831275.289999999</v>
      </c>
      <c r="D9" s="197">
        <v>51111706.329999998</v>
      </c>
      <c r="E9" s="182">
        <v>66942981.619999997</v>
      </c>
      <c r="F9" s="182">
        <v>2475497.4300000002</v>
      </c>
      <c r="G9" s="182">
        <f>H9-F9-E9</f>
        <v>58144375.07</v>
      </c>
      <c r="H9" s="187">
        <v>127562854.12</v>
      </c>
      <c r="I9" s="176">
        <f t="shared" si="0"/>
        <v>0.52478428835580837</v>
      </c>
      <c r="J9" s="170"/>
      <c r="K9" s="163"/>
    </row>
    <row r="10" spans="2:11">
      <c r="B10" s="173" t="s">
        <v>410</v>
      </c>
      <c r="C10" s="197">
        <v>8078303.0199999996</v>
      </c>
      <c r="D10" s="197">
        <f>E10-C10</f>
        <v>37019845.260000005</v>
      </c>
      <c r="E10" s="182">
        <v>45098148.280000001</v>
      </c>
      <c r="F10" s="182">
        <v>3288958</v>
      </c>
      <c r="G10" s="182">
        <f>H10-F10-E10</f>
        <v>30215894.129999995</v>
      </c>
      <c r="H10" s="187">
        <v>78603000.409999996</v>
      </c>
      <c r="I10" s="176">
        <f t="shared" si="0"/>
        <v>0.57374588813104066</v>
      </c>
      <c r="J10" s="170"/>
      <c r="K10" s="163"/>
    </row>
    <row r="11" spans="2:11">
      <c r="B11" s="173" t="s">
        <v>398</v>
      </c>
      <c r="C11" s="197">
        <v>9030586.6099999994</v>
      </c>
      <c r="D11" s="197">
        <v>14785919.890000001</v>
      </c>
      <c r="E11" s="182">
        <v>23846506.52</v>
      </c>
      <c r="F11" s="182">
        <v>244000</v>
      </c>
      <c r="G11" s="182">
        <v>8470597.5299999993</v>
      </c>
      <c r="H11" s="187">
        <v>32531104.030000001</v>
      </c>
      <c r="I11" s="176">
        <f t="shared" si="0"/>
        <v>0.73303711112936365</v>
      </c>
      <c r="J11" s="170"/>
      <c r="K11" s="163"/>
    </row>
    <row r="12" spans="2:11">
      <c r="B12" s="173" t="s">
        <v>399</v>
      </c>
      <c r="C12" s="197">
        <v>11912302.810000001</v>
      </c>
      <c r="D12" s="197">
        <f>E12-C12</f>
        <v>17735700.649999999</v>
      </c>
      <c r="E12" s="182">
        <v>29648003.460000001</v>
      </c>
      <c r="F12" s="197">
        <v>4930827.79</v>
      </c>
      <c r="G12" s="197">
        <f>H12-F12-E12</f>
        <v>13950252.770000003</v>
      </c>
      <c r="H12" s="187">
        <v>48529084.020000003</v>
      </c>
      <c r="I12" s="176">
        <f t="shared" si="0"/>
        <v>0.61093268209598484</v>
      </c>
      <c r="J12" s="170"/>
      <c r="K12" s="163"/>
    </row>
    <row r="13" spans="2:11">
      <c r="B13" s="173" t="s">
        <v>400</v>
      </c>
      <c r="C13" s="197">
        <v>11039390.73</v>
      </c>
      <c r="D13" s="197">
        <v>4892252.47</v>
      </c>
      <c r="E13" s="182">
        <v>15931643.200000001</v>
      </c>
      <c r="F13" s="182">
        <v>606000</v>
      </c>
      <c r="G13" s="182">
        <v>2513596.7999999998</v>
      </c>
      <c r="H13" s="187">
        <v>19051240</v>
      </c>
      <c r="I13" s="176">
        <f t="shared" si="0"/>
        <v>0.83625229643844712</v>
      </c>
      <c r="J13" s="170"/>
      <c r="K13" s="163"/>
    </row>
    <row r="14" spans="2:11">
      <c r="B14" s="173" t="s">
        <v>401</v>
      </c>
      <c r="C14" s="197">
        <f>E14-D14</f>
        <v>17244753.280000001</v>
      </c>
      <c r="D14" s="197">
        <v>5339522.25</v>
      </c>
      <c r="E14" s="182">
        <v>22584275.530000001</v>
      </c>
      <c r="F14" s="182">
        <v>546960.51</v>
      </c>
      <c r="G14" s="182">
        <f>H14-F14-E14</f>
        <v>7404048.4099999964</v>
      </c>
      <c r="H14" s="186">
        <v>30535284.449999999</v>
      </c>
      <c r="I14" s="176">
        <f t="shared" si="0"/>
        <v>0.73961241680851619</v>
      </c>
      <c r="J14" s="170"/>
      <c r="K14" s="163"/>
    </row>
    <row r="15" spans="2:11">
      <c r="B15" s="173" t="s">
        <v>402</v>
      </c>
      <c r="C15" s="197">
        <v>10075266.16</v>
      </c>
      <c r="D15" s="197">
        <v>60985348.729999997</v>
      </c>
      <c r="E15" s="182">
        <v>71060614.879999995</v>
      </c>
      <c r="F15" s="182">
        <v>0</v>
      </c>
      <c r="G15" s="182">
        <f>H15-E15</f>
        <v>65428920.110000014</v>
      </c>
      <c r="H15" s="186">
        <v>136489534.99000001</v>
      </c>
      <c r="I15" s="176">
        <f t="shared" si="0"/>
        <v>0.52063050024462532</v>
      </c>
      <c r="J15" s="170"/>
      <c r="K15" s="163"/>
    </row>
    <row r="16" spans="2:11" ht="15" thickBot="1">
      <c r="B16" s="174" t="s">
        <v>403</v>
      </c>
      <c r="C16" s="198">
        <v>5391105.2699999996</v>
      </c>
      <c r="D16" s="198">
        <v>9993861.0899999999</v>
      </c>
      <c r="E16" s="182">
        <v>15384966.359999999</v>
      </c>
      <c r="F16" s="181">
        <v>2612815.4900000002</v>
      </c>
      <c r="G16" s="181">
        <v>11288163.279999999</v>
      </c>
      <c r="H16" s="188">
        <v>29285945.129999999</v>
      </c>
      <c r="I16" s="176">
        <f t="shared" si="0"/>
        <v>0.52533617377572406</v>
      </c>
      <c r="J16" s="170"/>
      <c r="K16" s="163"/>
    </row>
    <row r="17" spans="2:10" ht="15" thickBot="1">
      <c r="B17" s="172" t="s">
        <v>108</v>
      </c>
      <c r="C17" s="195"/>
      <c r="D17" s="195"/>
      <c r="E17" s="183">
        <v>390212882.5</v>
      </c>
      <c r="F17" s="183"/>
      <c r="G17" s="183"/>
      <c r="H17" s="189">
        <v>651096716.96999991</v>
      </c>
      <c r="I17" s="180">
        <f>E17/H17</f>
        <v>0.5993163109713231</v>
      </c>
      <c r="J17" s="170"/>
    </row>
    <row r="18" spans="2:10" s="170" customFormat="1">
      <c r="B18" s="190"/>
      <c r="C18" s="190"/>
      <c r="D18" s="190"/>
      <c r="E18" s="191"/>
      <c r="F18" s="191"/>
      <c r="G18" s="191"/>
      <c r="H18" s="192"/>
      <c r="I18" s="193"/>
    </row>
    <row r="19" spans="2:10" s="170" customFormat="1">
      <c r="B19" s="190"/>
      <c r="C19" s="190"/>
      <c r="D19" s="190"/>
      <c r="E19" s="191"/>
      <c r="F19" s="191"/>
      <c r="G19" s="191"/>
      <c r="H19" s="192"/>
      <c r="I19" s="193"/>
    </row>
  </sheetData>
  <mergeCells count="1">
    <mergeCell ref="B2:I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FC194"/>
  <sheetViews>
    <sheetView topLeftCell="B46" workbookViewId="0">
      <selection activeCell="E70" sqref="E70"/>
    </sheetView>
  </sheetViews>
  <sheetFormatPr defaultRowHeight="14.4"/>
  <cols>
    <col min="1" max="1" width="25.33203125" style="7" bestFit="1" customWidth="1"/>
    <col min="2" max="2" width="14.44140625" customWidth="1"/>
    <col min="3" max="3" width="12.6640625" customWidth="1"/>
    <col min="4" max="4" width="12.88671875" customWidth="1"/>
    <col min="5" max="5" width="34.5546875" style="7" bestFit="1" customWidth="1"/>
    <col min="6" max="6" width="14.88671875" customWidth="1"/>
    <col min="7" max="7" width="14.88671875" style="7" customWidth="1"/>
    <col min="8" max="8" width="14" customWidth="1"/>
    <col min="9" max="9" width="10.88671875" style="7" customWidth="1"/>
    <col min="10" max="10" width="3.5546875" customWidth="1"/>
    <col min="11" max="11" width="27.33203125" bestFit="1" customWidth="1"/>
    <col min="12" max="12" width="10.5546875" customWidth="1"/>
    <col min="13" max="13" width="12.88671875" customWidth="1"/>
    <col min="14" max="14" width="13.33203125" bestFit="1" customWidth="1"/>
    <col min="15" max="15" width="11.6640625" bestFit="1" customWidth="1"/>
    <col min="16" max="16" width="13.33203125" bestFit="1" customWidth="1"/>
  </cols>
  <sheetData>
    <row r="1" spans="1:15 16383:16383" s="7" customFormat="1"/>
    <row r="2" spans="1:15 16383:16383">
      <c r="A2" s="8" t="s">
        <v>11</v>
      </c>
      <c r="B2" s="8" t="s">
        <v>10</v>
      </c>
      <c r="C2" s="8" t="s">
        <v>0</v>
      </c>
      <c r="D2" s="8" t="s">
        <v>1</v>
      </c>
      <c r="E2" s="8" t="s">
        <v>2</v>
      </c>
      <c r="F2" s="8" t="s">
        <v>28</v>
      </c>
      <c r="G2" s="8" t="s">
        <v>29</v>
      </c>
      <c r="H2" s="8" t="s">
        <v>3</v>
      </c>
      <c r="I2" s="32" t="s">
        <v>13</v>
      </c>
      <c r="J2" s="1"/>
      <c r="K2" s="218" t="s">
        <v>13</v>
      </c>
      <c r="L2" s="218"/>
      <c r="M2" s="218"/>
    </row>
    <row r="3" spans="1:15 16383:16383">
      <c r="A3" s="15" t="s">
        <v>270</v>
      </c>
      <c r="B3" s="25" t="s">
        <v>273</v>
      </c>
      <c r="C3" s="39">
        <v>66</v>
      </c>
      <c r="D3" s="12">
        <v>41451</v>
      </c>
      <c r="E3" s="12" t="s">
        <v>282</v>
      </c>
      <c r="F3" s="10">
        <v>6964.13</v>
      </c>
      <c r="G3" s="10">
        <v>3525.59</v>
      </c>
      <c r="H3" s="10">
        <v>435257.82</v>
      </c>
      <c r="I3" s="34">
        <v>1</v>
      </c>
      <c r="J3" s="1"/>
      <c r="K3" s="2" t="s">
        <v>4</v>
      </c>
      <c r="L3" s="2" t="s">
        <v>5</v>
      </c>
      <c r="M3" s="2" t="s">
        <v>3</v>
      </c>
    </row>
    <row r="4" spans="1:15 16383:16383">
      <c r="A4" s="15" t="s">
        <v>270</v>
      </c>
      <c r="B4" s="25" t="s">
        <v>273</v>
      </c>
      <c r="C4" s="39">
        <v>72</v>
      </c>
      <c r="D4" s="12">
        <v>41455</v>
      </c>
      <c r="E4" s="12" t="s">
        <v>282</v>
      </c>
      <c r="F4" s="10">
        <v>7577.1</v>
      </c>
      <c r="G4" s="10">
        <v>3835.91</v>
      </c>
      <c r="H4" s="10">
        <v>473568.86</v>
      </c>
      <c r="I4" s="34">
        <v>1</v>
      </c>
      <c r="J4" s="33"/>
      <c r="K4" s="63" t="s">
        <v>282</v>
      </c>
      <c r="L4" s="62">
        <v>5</v>
      </c>
      <c r="M4" s="38">
        <v>2278155.8199999998</v>
      </c>
      <c r="N4" s="6"/>
      <c r="O4" s="6"/>
    </row>
    <row r="5" spans="1:15 16383:16383">
      <c r="A5" s="15" t="s">
        <v>270</v>
      </c>
      <c r="B5" s="25" t="s">
        <v>273</v>
      </c>
      <c r="C5" s="39">
        <v>75</v>
      </c>
      <c r="D5" s="12">
        <v>41451</v>
      </c>
      <c r="E5" s="12" t="s">
        <v>282</v>
      </c>
      <c r="F5" s="10">
        <v>6082.76</v>
      </c>
      <c r="G5" s="10">
        <v>3079.4</v>
      </c>
      <c r="H5" s="10">
        <v>380172.25</v>
      </c>
      <c r="I5" s="34">
        <v>1</v>
      </c>
      <c r="J5" s="33"/>
      <c r="K5" s="63" t="s">
        <v>281</v>
      </c>
      <c r="L5" s="62">
        <v>2</v>
      </c>
      <c r="M5" s="38">
        <v>1141565.43</v>
      </c>
      <c r="N5" s="5"/>
      <c r="O5" s="6"/>
      <c r="XFC5" s="12"/>
    </row>
    <row r="6" spans="1:15 16383:16383" s="7" customFormat="1">
      <c r="A6" s="15" t="s">
        <v>270</v>
      </c>
      <c r="B6" s="25" t="s">
        <v>273</v>
      </c>
      <c r="C6" s="39">
        <v>76</v>
      </c>
      <c r="D6" s="12">
        <v>41451</v>
      </c>
      <c r="E6" s="12" t="s">
        <v>282</v>
      </c>
      <c r="F6" s="10">
        <v>7930.51</v>
      </c>
      <c r="G6" s="10">
        <v>4014.82</v>
      </c>
      <c r="H6" s="10">
        <v>495656.89</v>
      </c>
      <c r="I6" s="34">
        <v>1</v>
      </c>
      <c r="J6" s="33"/>
      <c r="K6" s="63" t="s">
        <v>251</v>
      </c>
      <c r="L6" s="62">
        <v>0.5</v>
      </c>
      <c r="M6" s="38">
        <v>181609.12</v>
      </c>
      <c r="N6" s="5"/>
      <c r="O6" s="6"/>
      <c r="XFC6" s="51"/>
    </row>
    <row r="7" spans="1:15 16383:16383">
      <c r="A7" s="15" t="s">
        <v>270</v>
      </c>
      <c r="B7" s="25" t="s">
        <v>273</v>
      </c>
      <c r="C7" s="39">
        <v>82</v>
      </c>
      <c r="D7" s="12">
        <v>41451</v>
      </c>
      <c r="E7" s="12" t="s">
        <v>282</v>
      </c>
      <c r="F7" s="10">
        <v>7896</v>
      </c>
      <c r="G7" s="10">
        <v>2990.61</v>
      </c>
      <c r="H7" s="10">
        <v>493500</v>
      </c>
      <c r="I7" s="34">
        <v>1</v>
      </c>
      <c r="J7" s="33"/>
      <c r="K7" s="20" t="s">
        <v>152</v>
      </c>
      <c r="L7" s="61">
        <v>0.5</v>
      </c>
      <c r="M7" s="38">
        <v>204200</v>
      </c>
      <c r="N7" s="5"/>
      <c r="O7" s="6"/>
    </row>
    <row r="8" spans="1:15 16383:16383">
      <c r="A8" s="15" t="s">
        <v>270</v>
      </c>
      <c r="B8" s="25" t="s">
        <v>272</v>
      </c>
      <c r="C8" s="39">
        <v>51</v>
      </c>
      <c r="D8" s="9">
        <v>41452</v>
      </c>
      <c r="E8" s="12" t="s">
        <v>281</v>
      </c>
      <c r="F8" s="10">
        <v>10323.629999999999</v>
      </c>
      <c r="G8" s="10">
        <v>2361.5300000000002</v>
      </c>
      <c r="H8" s="10">
        <v>645227.11</v>
      </c>
      <c r="I8" s="62">
        <v>1</v>
      </c>
      <c r="J8" s="33"/>
      <c r="K8" s="63" t="s">
        <v>179</v>
      </c>
      <c r="L8" s="62">
        <v>1</v>
      </c>
      <c r="M8" s="38">
        <v>381400</v>
      </c>
      <c r="N8" s="5"/>
      <c r="O8" s="6"/>
    </row>
    <row r="9" spans="1:15 16383:16383">
      <c r="A9" s="15" t="s">
        <v>270</v>
      </c>
      <c r="B9" s="25" t="s">
        <v>271</v>
      </c>
      <c r="C9" s="42">
        <v>52</v>
      </c>
      <c r="D9" s="9">
        <v>41452</v>
      </c>
      <c r="E9" s="12" t="s">
        <v>281</v>
      </c>
      <c r="F9" s="10">
        <v>7941.41</v>
      </c>
      <c r="G9" s="10">
        <v>4020.34</v>
      </c>
      <c r="H9" s="10">
        <v>496338.32</v>
      </c>
      <c r="I9" s="62">
        <v>1</v>
      </c>
      <c r="J9" s="33"/>
      <c r="K9" s="63" t="s">
        <v>218</v>
      </c>
      <c r="L9" s="62">
        <v>1</v>
      </c>
      <c r="M9" s="38">
        <v>465000</v>
      </c>
      <c r="N9" s="5"/>
      <c r="O9" s="6"/>
    </row>
    <row r="10" spans="1:15 16383:16383">
      <c r="A10" s="15" t="s">
        <v>145</v>
      </c>
      <c r="B10" s="25" t="s">
        <v>85</v>
      </c>
      <c r="C10" s="39">
        <v>1201</v>
      </c>
      <c r="D10" s="9">
        <v>41441</v>
      </c>
      <c r="E10" s="12" t="s">
        <v>251</v>
      </c>
      <c r="F10" s="10">
        <v>2905.75</v>
      </c>
      <c r="G10" s="10">
        <v>2015.86</v>
      </c>
      <c r="H10" s="10">
        <v>181609.12</v>
      </c>
      <c r="I10" s="62">
        <v>0.5</v>
      </c>
      <c r="J10" s="33"/>
      <c r="K10" s="63" t="s">
        <v>295</v>
      </c>
      <c r="L10" s="62">
        <v>3</v>
      </c>
      <c r="M10" s="38">
        <v>1262713.93</v>
      </c>
      <c r="N10" s="5"/>
      <c r="O10" s="6"/>
    </row>
    <row r="11" spans="1:15 16383:16383">
      <c r="A11" s="15" t="s">
        <v>146</v>
      </c>
      <c r="B11" s="25" t="s">
        <v>85</v>
      </c>
      <c r="C11" s="42">
        <v>2610</v>
      </c>
      <c r="D11" s="9">
        <v>41430</v>
      </c>
      <c r="E11" s="12" t="s">
        <v>152</v>
      </c>
      <c r="F11" s="10">
        <v>3267.2</v>
      </c>
      <c r="G11" s="10">
        <v>1188.44</v>
      </c>
      <c r="H11" s="10">
        <v>204200</v>
      </c>
      <c r="I11" s="62">
        <v>0.5</v>
      </c>
      <c r="J11" s="33"/>
      <c r="K11" s="63" t="s">
        <v>87</v>
      </c>
      <c r="L11" s="62">
        <v>1</v>
      </c>
      <c r="M11" s="38">
        <v>370300</v>
      </c>
      <c r="N11" s="5"/>
      <c r="O11" s="6"/>
    </row>
    <row r="12" spans="1:15 16383:16383" s="7" customFormat="1">
      <c r="A12" s="15" t="s">
        <v>145</v>
      </c>
      <c r="B12" s="25" t="s">
        <v>85</v>
      </c>
      <c r="C12" s="39">
        <v>815</v>
      </c>
      <c r="D12" s="12">
        <v>41455</v>
      </c>
      <c r="E12" s="12" t="s">
        <v>179</v>
      </c>
      <c r="F12" s="10">
        <v>6102.4</v>
      </c>
      <c r="G12" s="10">
        <v>3592.79</v>
      </c>
      <c r="H12" s="10">
        <v>381400</v>
      </c>
      <c r="I12" s="62">
        <v>1</v>
      </c>
      <c r="J12" s="33"/>
      <c r="K12" s="63" t="s">
        <v>206</v>
      </c>
      <c r="L12" s="62">
        <v>1</v>
      </c>
      <c r="M12" s="38">
        <v>465000</v>
      </c>
      <c r="N12" s="5"/>
      <c r="O12" s="6"/>
    </row>
    <row r="13" spans="1:15 16383:16383">
      <c r="A13" s="15" t="s">
        <v>145</v>
      </c>
      <c r="B13" s="25" t="s">
        <v>82</v>
      </c>
      <c r="C13" s="39">
        <v>409</v>
      </c>
      <c r="D13" s="9">
        <v>41445</v>
      </c>
      <c r="E13" s="12" t="s">
        <v>261</v>
      </c>
      <c r="F13" s="10">
        <v>3571.2</v>
      </c>
      <c r="G13" s="10">
        <v>0</v>
      </c>
      <c r="H13" s="10">
        <v>223200</v>
      </c>
      <c r="I13" s="62">
        <v>0.5</v>
      </c>
      <c r="J13" s="27"/>
      <c r="K13" s="63" t="s">
        <v>83</v>
      </c>
      <c r="L13" s="62">
        <v>1</v>
      </c>
      <c r="M13" s="38">
        <v>567985.43000000005</v>
      </c>
      <c r="N13" s="5"/>
      <c r="O13" s="6"/>
    </row>
    <row r="14" spans="1:15 16383:16383">
      <c r="A14" s="15" t="s">
        <v>145</v>
      </c>
      <c r="B14" s="25" t="s">
        <v>82</v>
      </c>
      <c r="C14" s="39">
        <v>2408</v>
      </c>
      <c r="D14" s="9">
        <v>41445</v>
      </c>
      <c r="E14" s="12" t="s">
        <v>261</v>
      </c>
      <c r="F14" s="10">
        <v>3868.8</v>
      </c>
      <c r="G14" s="10">
        <v>0</v>
      </c>
      <c r="H14" s="10">
        <v>241800</v>
      </c>
      <c r="I14" s="62">
        <v>0.5</v>
      </c>
      <c r="J14" s="27"/>
      <c r="K14" s="63" t="s">
        <v>221</v>
      </c>
      <c r="L14" s="62">
        <v>0.5</v>
      </c>
      <c r="M14" s="38">
        <v>220825</v>
      </c>
      <c r="N14" s="5"/>
      <c r="O14" s="6"/>
    </row>
    <row r="15" spans="1:15 16383:16383">
      <c r="A15" s="15" t="s">
        <v>270</v>
      </c>
      <c r="B15" s="25" t="s">
        <v>273</v>
      </c>
      <c r="C15" s="39">
        <v>37</v>
      </c>
      <c r="D15" s="9">
        <v>41451</v>
      </c>
      <c r="E15" s="12" t="s">
        <v>295</v>
      </c>
      <c r="F15" s="10">
        <v>3716.23</v>
      </c>
      <c r="G15" s="10">
        <v>1881.34</v>
      </c>
      <c r="H15" s="10">
        <v>232264.44</v>
      </c>
      <c r="I15" s="62">
        <v>0.5</v>
      </c>
      <c r="J15" s="27"/>
      <c r="K15" s="63" t="s">
        <v>283</v>
      </c>
      <c r="L15" s="62">
        <v>2</v>
      </c>
      <c r="M15" s="38">
        <v>828669.23</v>
      </c>
      <c r="N15" s="5"/>
      <c r="O15" s="6"/>
    </row>
    <row r="16" spans="1:15 16383:16383">
      <c r="A16" s="15" t="s">
        <v>270</v>
      </c>
      <c r="B16" s="25" t="s">
        <v>201</v>
      </c>
      <c r="C16" s="42" t="s">
        <v>294</v>
      </c>
      <c r="D16" s="9">
        <v>41451</v>
      </c>
      <c r="E16" s="12" t="s">
        <v>295</v>
      </c>
      <c r="F16" s="10">
        <v>216.94</v>
      </c>
      <c r="G16" s="10">
        <v>0</v>
      </c>
      <c r="H16" s="10">
        <v>13558.87</v>
      </c>
      <c r="I16" s="62">
        <v>0.5</v>
      </c>
      <c r="J16" s="33"/>
      <c r="K16" s="63" t="s">
        <v>285</v>
      </c>
      <c r="L16" s="62">
        <v>0.5</v>
      </c>
      <c r="M16" s="38">
        <v>225312.27</v>
      </c>
      <c r="N16" s="5"/>
      <c r="O16" s="6"/>
    </row>
    <row r="17" spans="1:15">
      <c r="A17" s="15" t="s">
        <v>270</v>
      </c>
      <c r="B17" s="25" t="s">
        <v>271</v>
      </c>
      <c r="C17" s="39">
        <v>76</v>
      </c>
      <c r="D17" s="9">
        <v>41451</v>
      </c>
      <c r="E17" s="12" t="s">
        <v>295</v>
      </c>
      <c r="F17" s="10">
        <v>8143.03</v>
      </c>
      <c r="G17" s="10">
        <v>0</v>
      </c>
      <c r="H17" s="10">
        <v>508939.15</v>
      </c>
      <c r="I17" s="62">
        <v>1</v>
      </c>
      <c r="J17" s="33"/>
      <c r="K17" s="63" t="s">
        <v>288</v>
      </c>
      <c r="L17" s="62">
        <v>1</v>
      </c>
      <c r="M17" s="38">
        <v>380283.15</v>
      </c>
      <c r="N17" s="5"/>
      <c r="O17" s="6"/>
    </row>
    <row r="18" spans="1:15">
      <c r="A18" s="15" t="s">
        <v>270</v>
      </c>
      <c r="B18" s="25" t="s">
        <v>271</v>
      </c>
      <c r="C18" s="42">
        <v>56</v>
      </c>
      <c r="D18" s="9">
        <v>41451</v>
      </c>
      <c r="E18" s="12" t="s">
        <v>295</v>
      </c>
      <c r="F18" s="10">
        <v>8127.22</v>
      </c>
      <c r="G18" s="10">
        <v>0</v>
      </c>
      <c r="H18" s="10">
        <v>507951.47</v>
      </c>
      <c r="I18" s="62">
        <v>1</v>
      </c>
      <c r="J18" s="33"/>
      <c r="K18" s="63" t="s">
        <v>49</v>
      </c>
      <c r="L18" s="62">
        <v>2</v>
      </c>
      <c r="M18" s="38">
        <v>814098.48</v>
      </c>
      <c r="N18" s="5"/>
      <c r="O18" s="6"/>
    </row>
    <row r="19" spans="1:15">
      <c r="A19" s="15" t="s">
        <v>146</v>
      </c>
      <c r="B19" s="25" t="s">
        <v>85</v>
      </c>
      <c r="C19" s="39">
        <v>907</v>
      </c>
      <c r="D19" s="9">
        <v>41451</v>
      </c>
      <c r="E19" s="12" t="s">
        <v>87</v>
      </c>
      <c r="F19" s="10">
        <v>5924.8</v>
      </c>
      <c r="G19" s="10">
        <v>4110.33</v>
      </c>
      <c r="H19" s="10">
        <v>370300</v>
      </c>
      <c r="I19" s="62">
        <v>1</v>
      </c>
      <c r="J19" s="27"/>
      <c r="K19" s="63" t="s">
        <v>70</v>
      </c>
      <c r="L19" s="62">
        <v>1</v>
      </c>
      <c r="M19" s="38">
        <v>2050000</v>
      </c>
      <c r="N19" s="5"/>
      <c r="O19" s="6"/>
    </row>
    <row r="20" spans="1:15">
      <c r="A20" s="15" t="s">
        <v>145</v>
      </c>
      <c r="B20" s="25" t="s">
        <v>82</v>
      </c>
      <c r="C20" s="39">
        <v>409</v>
      </c>
      <c r="D20" s="9">
        <v>41445</v>
      </c>
      <c r="E20" s="12" t="s">
        <v>260</v>
      </c>
      <c r="F20" s="10">
        <v>3571.2</v>
      </c>
      <c r="G20" s="10">
        <v>0</v>
      </c>
      <c r="H20" s="10">
        <v>223200</v>
      </c>
      <c r="I20" s="62">
        <v>0.5</v>
      </c>
      <c r="J20" s="1"/>
      <c r="K20" s="63" t="s">
        <v>274</v>
      </c>
      <c r="L20" s="62">
        <v>3</v>
      </c>
      <c r="M20" s="38">
        <v>1295782.5</v>
      </c>
      <c r="N20" s="5"/>
      <c r="O20" s="6"/>
    </row>
    <row r="21" spans="1:15">
      <c r="A21" s="15" t="s">
        <v>145</v>
      </c>
      <c r="B21" s="25" t="s">
        <v>82</v>
      </c>
      <c r="C21" s="39">
        <v>2408</v>
      </c>
      <c r="D21" s="9">
        <v>41445</v>
      </c>
      <c r="E21" s="12" t="s">
        <v>260</v>
      </c>
      <c r="F21" s="10">
        <v>3868.8</v>
      </c>
      <c r="G21" s="10">
        <v>0</v>
      </c>
      <c r="H21" s="10">
        <v>241800</v>
      </c>
      <c r="I21" s="62">
        <v>0.5</v>
      </c>
      <c r="J21" s="1"/>
      <c r="K21" s="63" t="s">
        <v>268</v>
      </c>
      <c r="L21" s="62">
        <v>0.25</v>
      </c>
      <c r="M21" s="38">
        <v>568250</v>
      </c>
      <c r="N21" s="5"/>
      <c r="O21" s="64"/>
    </row>
    <row r="22" spans="1:15">
      <c r="A22" s="15" t="s">
        <v>270</v>
      </c>
      <c r="B22" s="25" t="s">
        <v>273</v>
      </c>
      <c r="C22" s="39">
        <v>62</v>
      </c>
      <c r="D22" s="9">
        <v>41451</v>
      </c>
      <c r="E22" s="12" t="s">
        <v>83</v>
      </c>
      <c r="F22" s="10">
        <v>3936.26</v>
      </c>
      <c r="G22" s="10">
        <v>1992.73</v>
      </c>
      <c r="H22" s="10">
        <v>246016</v>
      </c>
      <c r="I22" s="34">
        <v>0.5</v>
      </c>
      <c r="J22" s="1"/>
      <c r="K22" s="63" t="s">
        <v>65</v>
      </c>
      <c r="L22" s="62">
        <v>1</v>
      </c>
      <c r="M22" s="38">
        <v>242141.02</v>
      </c>
      <c r="N22" s="5"/>
      <c r="O22" s="6"/>
    </row>
    <row r="23" spans="1:15" s="7" customFormat="1">
      <c r="A23" s="15" t="s">
        <v>270</v>
      </c>
      <c r="B23" s="25" t="s">
        <v>273</v>
      </c>
      <c r="C23" s="39">
        <v>82</v>
      </c>
      <c r="D23" s="9">
        <v>41451</v>
      </c>
      <c r="E23" s="12" t="s">
        <v>83</v>
      </c>
      <c r="F23" s="10">
        <v>5151.51</v>
      </c>
      <c r="G23" s="10">
        <v>0</v>
      </c>
      <c r="H23" s="10">
        <v>321969.43</v>
      </c>
      <c r="I23" s="34">
        <v>0.5</v>
      </c>
      <c r="K23" s="63" t="s">
        <v>67</v>
      </c>
      <c r="L23" s="62">
        <v>1</v>
      </c>
      <c r="M23" s="38">
        <v>474548.59</v>
      </c>
      <c r="N23" s="5"/>
      <c r="O23" s="6"/>
    </row>
    <row r="24" spans="1:15" s="7" customFormat="1">
      <c r="A24" s="15" t="s">
        <v>270</v>
      </c>
      <c r="B24" s="25" t="s">
        <v>273</v>
      </c>
      <c r="C24" s="39">
        <v>33</v>
      </c>
      <c r="D24" s="9">
        <v>41455</v>
      </c>
      <c r="E24" s="12" t="s">
        <v>207</v>
      </c>
      <c r="F24" s="10">
        <v>3533.2</v>
      </c>
      <c r="G24" s="10">
        <v>1126.21</v>
      </c>
      <c r="H24" s="10">
        <v>220825</v>
      </c>
      <c r="I24" s="62">
        <v>0.5</v>
      </c>
      <c r="K24" s="63" t="s">
        <v>62</v>
      </c>
      <c r="L24" s="62">
        <v>1</v>
      </c>
      <c r="M24" s="38">
        <v>311241.55</v>
      </c>
      <c r="N24" s="5"/>
      <c r="O24" s="50"/>
    </row>
    <row r="25" spans="1:15" s="7" customFormat="1">
      <c r="A25" s="15" t="s">
        <v>270</v>
      </c>
      <c r="B25" s="25" t="s">
        <v>271</v>
      </c>
      <c r="C25" s="39">
        <v>14</v>
      </c>
      <c r="D25" s="12">
        <v>41451</v>
      </c>
      <c r="E25" s="12" t="s">
        <v>283</v>
      </c>
      <c r="F25" s="10">
        <v>6206.86</v>
      </c>
      <c r="G25" s="10">
        <v>3142.22</v>
      </c>
      <c r="H25" s="10">
        <v>387928.72</v>
      </c>
      <c r="I25" s="34">
        <v>1</v>
      </c>
      <c r="K25" s="20" t="s">
        <v>291</v>
      </c>
      <c r="L25" s="61">
        <v>1</v>
      </c>
      <c r="M25" s="38">
        <v>375702</v>
      </c>
      <c r="N25" s="5"/>
    </row>
    <row r="26" spans="1:15" s="7" customFormat="1">
      <c r="A26" s="15" t="s">
        <v>270</v>
      </c>
      <c r="B26" s="25" t="s">
        <v>273</v>
      </c>
      <c r="C26" s="39">
        <v>42</v>
      </c>
      <c r="D26" s="12">
        <v>41452</v>
      </c>
      <c r="E26" s="12" t="s">
        <v>283</v>
      </c>
      <c r="F26" s="10">
        <v>7051.85</v>
      </c>
      <c r="G26" s="10">
        <v>3570</v>
      </c>
      <c r="H26" s="10">
        <v>440740.51</v>
      </c>
      <c r="I26" s="34">
        <v>1</v>
      </c>
      <c r="K26" s="63" t="s">
        <v>105</v>
      </c>
      <c r="L26" s="62">
        <v>2</v>
      </c>
      <c r="M26" s="38">
        <v>1197291.21</v>
      </c>
      <c r="N26" s="5"/>
    </row>
    <row r="27" spans="1:15" s="7" customFormat="1">
      <c r="A27" s="15" t="s">
        <v>270</v>
      </c>
      <c r="B27" s="25" t="s">
        <v>273</v>
      </c>
      <c r="C27" s="42">
        <v>26</v>
      </c>
      <c r="D27" s="9">
        <v>41451</v>
      </c>
      <c r="E27" s="12" t="s">
        <v>285</v>
      </c>
      <c r="F27" s="10">
        <v>3605</v>
      </c>
      <c r="G27" s="10">
        <v>1825.03</v>
      </c>
      <c r="H27" s="10">
        <v>225312.27</v>
      </c>
      <c r="I27" s="62">
        <v>0.5</v>
      </c>
      <c r="K27" s="63" t="s">
        <v>276</v>
      </c>
      <c r="L27" s="62">
        <v>1</v>
      </c>
      <c r="M27" s="38">
        <v>530824.75</v>
      </c>
      <c r="N27" s="5"/>
      <c r="O27" s="64"/>
    </row>
    <row r="28" spans="1:15" s="7" customFormat="1">
      <c r="A28" s="15" t="s">
        <v>270</v>
      </c>
      <c r="B28" s="25" t="s">
        <v>273</v>
      </c>
      <c r="C28" s="42">
        <v>48</v>
      </c>
      <c r="D28" s="9">
        <v>41450</v>
      </c>
      <c r="E28" s="12" t="s">
        <v>287</v>
      </c>
      <c r="F28" s="10">
        <v>3072.84</v>
      </c>
      <c r="G28" s="10">
        <v>1555.62</v>
      </c>
      <c r="H28" s="10">
        <v>192052.43</v>
      </c>
      <c r="I28" s="62">
        <v>0.5</v>
      </c>
      <c r="K28" s="63" t="s">
        <v>168</v>
      </c>
      <c r="L28" s="62">
        <v>0.5</v>
      </c>
      <c r="M28" s="38">
        <v>181609.12</v>
      </c>
      <c r="N28" s="5"/>
      <c r="O28" s="50"/>
    </row>
    <row r="29" spans="1:15" s="7" customFormat="1">
      <c r="A29" s="15" t="s">
        <v>270</v>
      </c>
      <c r="B29" s="25" t="s">
        <v>273</v>
      </c>
      <c r="C29" s="42">
        <v>28</v>
      </c>
      <c r="D29" s="9">
        <v>41450</v>
      </c>
      <c r="E29" s="12" t="s">
        <v>287</v>
      </c>
      <c r="F29" s="10">
        <v>3011.69</v>
      </c>
      <c r="G29" s="10">
        <v>1524.67</v>
      </c>
      <c r="H29" s="10">
        <v>188230.72</v>
      </c>
      <c r="I29" s="62">
        <v>0.5</v>
      </c>
      <c r="K29" s="20" t="s">
        <v>292</v>
      </c>
      <c r="L29" s="61">
        <v>3.5</v>
      </c>
      <c r="M29" s="38">
        <v>967703.24</v>
      </c>
      <c r="N29" s="5"/>
      <c r="O29" s="64"/>
    </row>
    <row r="30" spans="1:15" s="7" customFormat="1">
      <c r="A30" s="15" t="s">
        <v>145</v>
      </c>
      <c r="B30" s="25" t="s">
        <v>82</v>
      </c>
      <c r="C30" s="39">
        <v>2107</v>
      </c>
      <c r="D30" s="9">
        <v>41449</v>
      </c>
      <c r="E30" s="12" t="s">
        <v>49</v>
      </c>
      <c r="F30" s="10">
        <v>6549.44</v>
      </c>
      <c r="G30" s="10">
        <v>4543.68</v>
      </c>
      <c r="H30" s="10">
        <v>409340.23</v>
      </c>
      <c r="I30" s="62">
        <v>1</v>
      </c>
      <c r="K30" s="63" t="s">
        <v>59</v>
      </c>
      <c r="L30" s="62">
        <v>2</v>
      </c>
      <c r="M30" s="38">
        <v>1115534.8400000001</v>
      </c>
      <c r="N30" s="5"/>
      <c r="O30" s="64"/>
    </row>
    <row r="31" spans="1:15" s="7" customFormat="1">
      <c r="A31" s="15" t="s">
        <v>145</v>
      </c>
      <c r="B31" s="25" t="s">
        <v>82</v>
      </c>
      <c r="C31" s="39">
        <v>1907</v>
      </c>
      <c r="D31" s="9">
        <v>41449</v>
      </c>
      <c r="E31" s="12" t="s">
        <v>49</v>
      </c>
      <c r="F31" s="10">
        <v>6476.13</v>
      </c>
      <c r="G31" s="10">
        <v>4492.82</v>
      </c>
      <c r="H31" s="10">
        <v>404758.25</v>
      </c>
      <c r="I31" s="62">
        <v>1</v>
      </c>
      <c r="K31" s="63" t="s">
        <v>296</v>
      </c>
      <c r="L31" s="62">
        <v>0.5</v>
      </c>
      <c r="M31" s="38">
        <v>197902.58</v>
      </c>
      <c r="N31" s="5"/>
      <c r="O31" s="64"/>
    </row>
    <row r="32" spans="1:15" s="7" customFormat="1">
      <c r="A32" s="15" t="s">
        <v>264</v>
      </c>
      <c r="B32" s="25" t="s">
        <v>85</v>
      </c>
      <c r="C32" s="39">
        <v>211</v>
      </c>
      <c r="D32" s="9">
        <v>41446</v>
      </c>
      <c r="E32" s="12" t="s">
        <v>70</v>
      </c>
      <c r="F32" s="10">
        <v>41000</v>
      </c>
      <c r="G32" s="10">
        <v>0</v>
      </c>
      <c r="H32" s="10">
        <v>2050000</v>
      </c>
      <c r="I32" s="34">
        <v>1</v>
      </c>
      <c r="K32" s="63" t="s">
        <v>77</v>
      </c>
      <c r="L32" s="62">
        <v>1.5</v>
      </c>
      <c r="M32" s="38">
        <v>727693.86</v>
      </c>
      <c r="N32" s="5"/>
    </row>
    <row r="33" spans="1:15">
      <c r="A33" s="15" t="s">
        <v>270</v>
      </c>
      <c r="B33" s="25" t="s">
        <v>273</v>
      </c>
      <c r="C33" s="42">
        <v>35</v>
      </c>
      <c r="D33" s="9">
        <v>41455</v>
      </c>
      <c r="E33" s="12" t="s">
        <v>274</v>
      </c>
      <c r="F33" s="10">
        <v>5964.06</v>
      </c>
      <c r="G33" s="10">
        <v>1386.64</v>
      </c>
      <c r="H33" s="10">
        <v>372753.5</v>
      </c>
      <c r="I33" s="62">
        <v>1</v>
      </c>
      <c r="K33" s="20" t="s">
        <v>55</v>
      </c>
      <c r="L33" s="62">
        <v>2</v>
      </c>
      <c r="M33" s="38">
        <v>1031899.41</v>
      </c>
      <c r="N33" s="5"/>
      <c r="O33" s="64"/>
    </row>
    <row r="34" spans="1:15">
      <c r="A34" s="15" t="s">
        <v>270</v>
      </c>
      <c r="B34" s="25" t="s">
        <v>271</v>
      </c>
      <c r="C34" s="42">
        <v>36</v>
      </c>
      <c r="D34" s="9">
        <v>41455</v>
      </c>
      <c r="E34" s="12" t="s">
        <v>274</v>
      </c>
      <c r="F34" s="10">
        <v>7877.26</v>
      </c>
      <c r="G34" s="10">
        <v>3987.86</v>
      </c>
      <c r="H34" s="10">
        <v>492329</v>
      </c>
      <c r="I34" s="62">
        <v>1</v>
      </c>
      <c r="K34" s="63" t="s">
        <v>266</v>
      </c>
      <c r="L34" s="62">
        <v>2</v>
      </c>
      <c r="M34" s="38">
        <f>507180+517661</f>
        <v>1024841</v>
      </c>
      <c r="N34" s="5"/>
      <c r="O34" s="64"/>
    </row>
    <row r="35" spans="1:15">
      <c r="A35" s="15" t="s">
        <v>270</v>
      </c>
      <c r="B35" s="25" t="s">
        <v>271</v>
      </c>
      <c r="C35" s="42">
        <v>46</v>
      </c>
      <c r="D35" s="9">
        <v>41455</v>
      </c>
      <c r="E35" s="12" t="s">
        <v>274</v>
      </c>
      <c r="F35" s="10">
        <v>6891.2</v>
      </c>
      <c r="G35" s="10">
        <v>3488.67</v>
      </c>
      <c r="H35" s="10">
        <v>430700</v>
      </c>
      <c r="I35" s="62">
        <v>1</v>
      </c>
      <c r="K35" s="63" t="s">
        <v>304</v>
      </c>
      <c r="L35" s="62">
        <v>1</v>
      </c>
      <c r="M35" s="38">
        <v>633914.91</v>
      </c>
      <c r="N35" s="5"/>
      <c r="O35" s="50"/>
    </row>
    <row r="36" spans="1:15">
      <c r="A36" s="11" t="s">
        <v>269</v>
      </c>
      <c r="B36" s="25" t="s">
        <v>85</v>
      </c>
      <c r="C36" s="25">
        <v>151</v>
      </c>
      <c r="D36" s="98">
        <v>41439</v>
      </c>
      <c r="E36" s="25" t="s">
        <v>268</v>
      </c>
      <c r="F36" s="105">
        <v>20947.29</v>
      </c>
      <c r="G36" s="105">
        <v>0</v>
      </c>
      <c r="H36" s="105">
        <v>568250</v>
      </c>
      <c r="I36" s="25">
        <v>0.25</v>
      </c>
      <c r="K36" s="20" t="s">
        <v>180</v>
      </c>
      <c r="L36" s="61">
        <v>0.5</v>
      </c>
      <c r="M36" s="38">
        <v>204200</v>
      </c>
      <c r="N36" s="5"/>
      <c r="O36" s="64"/>
    </row>
    <row r="37" spans="1:15">
      <c r="A37" s="15" t="s">
        <v>116</v>
      </c>
      <c r="B37" s="25" t="s">
        <v>117</v>
      </c>
      <c r="C37" s="39">
        <v>105</v>
      </c>
      <c r="D37" s="9">
        <v>41437</v>
      </c>
      <c r="E37" s="12" t="s">
        <v>65</v>
      </c>
      <c r="F37" s="10">
        <f>H37*2%</f>
        <v>4842.8203999999996</v>
      </c>
      <c r="G37" s="10">
        <f>6164.91-F37</f>
        <v>1322.0896000000002</v>
      </c>
      <c r="H37" s="10">
        <v>242141.02</v>
      </c>
      <c r="I37" s="62">
        <v>1</v>
      </c>
      <c r="K37" s="63" t="s">
        <v>302</v>
      </c>
      <c r="L37" s="62">
        <v>4</v>
      </c>
      <c r="M37" s="38">
        <v>1480897.48</v>
      </c>
      <c r="N37" s="5"/>
      <c r="O37" s="64"/>
    </row>
    <row r="38" spans="1:15">
      <c r="A38" s="15" t="s">
        <v>146</v>
      </c>
      <c r="B38" s="25" t="s">
        <v>82</v>
      </c>
      <c r="C38" s="39">
        <v>509</v>
      </c>
      <c r="D38" s="12">
        <v>41441</v>
      </c>
      <c r="E38" s="12" t="s">
        <v>67</v>
      </c>
      <c r="F38" s="10">
        <v>7592.78</v>
      </c>
      <c r="G38" s="10">
        <v>5267.49</v>
      </c>
      <c r="H38" s="10">
        <v>474548.59</v>
      </c>
      <c r="I38" s="62">
        <v>1</v>
      </c>
      <c r="K38" s="63" t="s">
        <v>297</v>
      </c>
      <c r="L38" s="62">
        <v>1</v>
      </c>
      <c r="M38" s="38">
        <v>645529.66</v>
      </c>
      <c r="N38" s="5"/>
      <c r="O38" s="64"/>
    </row>
    <row r="39" spans="1:15">
      <c r="A39" s="15" t="s">
        <v>145</v>
      </c>
      <c r="B39" s="25" t="s">
        <v>85</v>
      </c>
      <c r="C39" s="39">
        <v>1202</v>
      </c>
      <c r="D39" s="9">
        <v>41441</v>
      </c>
      <c r="E39" s="12" t="s">
        <v>62</v>
      </c>
      <c r="F39" s="10">
        <v>4979.8599999999997</v>
      </c>
      <c r="G39" s="10">
        <v>3454.78</v>
      </c>
      <c r="H39" s="10">
        <v>311241.55</v>
      </c>
      <c r="I39" s="62">
        <v>1</v>
      </c>
      <c r="K39" s="63" t="s">
        <v>78</v>
      </c>
      <c r="L39" s="62">
        <v>2</v>
      </c>
      <c r="M39" s="38">
        <v>948518.86</v>
      </c>
      <c r="N39" s="5"/>
      <c r="O39" s="64"/>
    </row>
    <row r="40" spans="1:15">
      <c r="A40" s="15" t="s">
        <v>270</v>
      </c>
      <c r="B40" s="25" t="s">
        <v>271</v>
      </c>
      <c r="C40" s="42">
        <v>18</v>
      </c>
      <c r="D40" s="9">
        <v>41455</v>
      </c>
      <c r="E40" s="12" t="s">
        <v>291</v>
      </c>
      <c r="F40" s="10">
        <v>6011.23</v>
      </c>
      <c r="G40" s="10">
        <v>3043.19</v>
      </c>
      <c r="H40" s="10">
        <v>375702</v>
      </c>
      <c r="I40" s="62">
        <v>1</v>
      </c>
      <c r="K40" s="63" t="s">
        <v>279</v>
      </c>
      <c r="L40" s="62">
        <v>1</v>
      </c>
      <c r="M40" s="38">
        <v>638796</v>
      </c>
      <c r="N40" s="6"/>
      <c r="O40" s="64"/>
    </row>
    <row r="41" spans="1:15">
      <c r="A41" s="15" t="s">
        <v>270</v>
      </c>
      <c r="B41" s="25" t="s">
        <v>272</v>
      </c>
      <c r="C41" s="39">
        <v>31</v>
      </c>
      <c r="D41" s="9">
        <v>41451</v>
      </c>
      <c r="E41" s="12" t="s">
        <v>105</v>
      </c>
      <c r="F41" s="10">
        <v>5225.7700000000004</v>
      </c>
      <c r="G41" s="10">
        <v>2645.55</v>
      </c>
      <c r="H41" s="10">
        <v>326610.53000000003</v>
      </c>
      <c r="I41" s="34">
        <v>0.5</v>
      </c>
      <c r="K41" s="63" t="s">
        <v>196</v>
      </c>
      <c r="L41" s="62">
        <v>0.5</v>
      </c>
      <c r="M41" s="38">
        <v>243425</v>
      </c>
      <c r="N41" s="5"/>
      <c r="O41" s="50"/>
    </row>
    <row r="42" spans="1:15">
      <c r="A42" s="15" t="s">
        <v>270</v>
      </c>
      <c r="B42" s="25" t="s">
        <v>271</v>
      </c>
      <c r="C42" s="39">
        <v>32</v>
      </c>
      <c r="D42" s="9">
        <v>41452</v>
      </c>
      <c r="E42" s="12" t="s">
        <v>105</v>
      </c>
      <c r="F42" s="10">
        <v>3559.53</v>
      </c>
      <c r="G42" s="10">
        <v>1802.01</v>
      </c>
      <c r="H42" s="10">
        <v>222470.45</v>
      </c>
      <c r="I42" s="34">
        <v>0.5</v>
      </c>
      <c r="K42" s="63" t="s">
        <v>289</v>
      </c>
      <c r="L42" s="62">
        <v>1</v>
      </c>
      <c r="M42" s="38">
        <v>380283.15</v>
      </c>
      <c r="N42" s="5"/>
      <c r="O42" s="64"/>
    </row>
    <row r="43" spans="1:15">
      <c r="A43" s="15" t="s">
        <v>270</v>
      </c>
      <c r="B43" s="25" t="s">
        <v>272</v>
      </c>
      <c r="C43" s="39">
        <v>83</v>
      </c>
      <c r="D43" s="9">
        <v>41453</v>
      </c>
      <c r="E43" s="12" t="s">
        <v>105</v>
      </c>
      <c r="F43" s="10">
        <v>2268.7399999999998</v>
      </c>
      <c r="G43" s="10">
        <v>2625.25</v>
      </c>
      <c r="H43" s="10">
        <v>648210.23</v>
      </c>
      <c r="I43" s="34">
        <v>0.5</v>
      </c>
      <c r="K43" s="63" t="s">
        <v>19</v>
      </c>
      <c r="L43" s="62">
        <v>1</v>
      </c>
      <c r="M43" s="38">
        <v>604850</v>
      </c>
      <c r="N43" s="5"/>
      <c r="O43" s="64"/>
    </row>
    <row r="44" spans="1:15">
      <c r="A44" s="15" t="s">
        <v>270</v>
      </c>
      <c r="B44" s="25" t="s">
        <v>271</v>
      </c>
      <c r="C44" s="39">
        <v>77</v>
      </c>
      <c r="D44" s="9">
        <v>41451</v>
      </c>
      <c r="E44" s="12" t="s">
        <v>276</v>
      </c>
      <c r="F44" s="10">
        <v>8493.2000000000007</v>
      </c>
      <c r="G44" s="10">
        <v>4299.68</v>
      </c>
      <c r="H44" s="10">
        <v>530824.75</v>
      </c>
      <c r="I44" s="62">
        <v>1</v>
      </c>
      <c r="K44" s="63" t="s">
        <v>267</v>
      </c>
      <c r="L44" s="62">
        <v>0.25</v>
      </c>
      <c r="M44" s="38">
        <v>568250</v>
      </c>
      <c r="N44" s="5"/>
      <c r="O44" s="64"/>
    </row>
    <row r="45" spans="1:15">
      <c r="A45" s="15" t="s">
        <v>145</v>
      </c>
      <c r="B45" s="25" t="s">
        <v>85</v>
      </c>
      <c r="C45" s="39">
        <v>1201</v>
      </c>
      <c r="D45" s="9">
        <v>41441</v>
      </c>
      <c r="E45" s="12" t="s">
        <v>168</v>
      </c>
      <c r="F45" s="10">
        <v>2905.75</v>
      </c>
      <c r="G45" s="10">
        <v>2015.86</v>
      </c>
      <c r="H45" s="10">
        <v>181609.12</v>
      </c>
      <c r="I45" s="62">
        <v>0.5</v>
      </c>
      <c r="K45" s="63" t="s">
        <v>277</v>
      </c>
      <c r="L45" s="62">
        <v>2</v>
      </c>
      <c r="M45" s="38">
        <v>864871.79</v>
      </c>
      <c r="N45" s="5"/>
      <c r="O45" s="64"/>
    </row>
    <row r="46" spans="1:15">
      <c r="A46" s="15" t="s">
        <v>270</v>
      </c>
      <c r="B46" s="25" t="s">
        <v>271</v>
      </c>
      <c r="C46" s="39">
        <v>7</v>
      </c>
      <c r="D46" s="9">
        <v>41451</v>
      </c>
      <c r="E46" s="12" t="s">
        <v>292</v>
      </c>
      <c r="F46" s="10">
        <v>7902.46</v>
      </c>
      <c r="G46" s="10">
        <v>4000.62</v>
      </c>
      <c r="H46" s="10">
        <v>493903.91</v>
      </c>
      <c r="I46" s="62">
        <v>1</v>
      </c>
      <c r="K46" s="63" t="s">
        <v>43</v>
      </c>
      <c r="L46" s="62">
        <v>1</v>
      </c>
      <c r="M46" s="38">
        <v>630000</v>
      </c>
      <c r="N46" s="5"/>
      <c r="O46" s="64"/>
    </row>
    <row r="47" spans="1:15">
      <c r="A47" s="15" t="s">
        <v>270</v>
      </c>
      <c r="B47" s="25" t="s">
        <v>201</v>
      </c>
      <c r="C47" s="42" t="s">
        <v>293</v>
      </c>
      <c r="D47" s="9">
        <v>41451</v>
      </c>
      <c r="E47" s="12" t="s">
        <v>292</v>
      </c>
      <c r="F47" s="10">
        <v>481.18</v>
      </c>
      <c r="G47" s="10">
        <v>0</v>
      </c>
      <c r="H47" s="10">
        <v>30073.439999999999</v>
      </c>
      <c r="I47" s="62">
        <v>1</v>
      </c>
      <c r="K47" s="63" t="s">
        <v>253</v>
      </c>
      <c r="L47" s="62">
        <v>1</v>
      </c>
      <c r="M47" s="38">
        <v>333514.5</v>
      </c>
      <c r="N47" s="5"/>
    </row>
    <row r="48" spans="1:15">
      <c r="A48" s="15" t="s">
        <v>270</v>
      </c>
      <c r="B48" s="25" t="s">
        <v>201</v>
      </c>
      <c r="C48" s="42" t="s">
        <v>294</v>
      </c>
      <c r="D48" s="9">
        <v>41451</v>
      </c>
      <c r="E48" s="12" t="s">
        <v>292</v>
      </c>
      <c r="F48" s="10">
        <v>216.94</v>
      </c>
      <c r="G48" s="10">
        <v>0</v>
      </c>
      <c r="H48" s="10">
        <v>13558.87</v>
      </c>
      <c r="I48" s="62">
        <v>0.5</v>
      </c>
      <c r="K48" s="63" t="s">
        <v>280</v>
      </c>
      <c r="L48" s="62">
        <v>1</v>
      </c>
      <c r="M48" s="38">
        <v>331050</v>
      </c>
      <c r="N48" s="5"/>
      <c r="O48" s="64"/>
    </row>
    <row r="49" spans="1:16">
      <c r="A49" s="15" t="s">
        <v>270</v>
      </c>
      <c r="B49" s="25" t="s">
        <v>273</v>
      </c>
      <c r="C49" s="39">
        <v>37</v>
      </c>
      <c r="D49" s="9">
        <v>41451</v>
      </c>
      <c r="E49" s="12" t="s">
        <v>292</v>
      </c>
      <c r="F49" s="10">
        <v>3716.23</v>
      </c>
      <c r="G49" s="10">
        <v>1881.34</v>
      </c>
      <c r="H49" s="10">
        <v>232264.44</v>
      </c>
      <c r="I49" s="62">
        <v>0.5</v>
      </c>
      <c r="K49" s="20" t="s">
        <v>63</v>
      </c>
      <c r="L49" s="61">
        <v>1</v>
      </c>
      <c r="M49" s="38">
        <v>567985.43000000005</v>
      </c>
      <c r="N49" s="5"/>
      <c r="O49" s="64"/>
    </row>
    <row r="50" spans="1:16" s="7" customFormat="1">
      <c r="A50" s="15" t="s">
        <v>270</v>
      </c>
      <c r="B50" s="25" t="s">
        <v>271</v>
      </c>
      <c r="C50" s="39">
        <v>34</v>
      </c>
      <c r="D50" s="9">
        <v>41455</v>
      </c>
      <c r="E50" s="12" t="s">
        <v>292</v>
      </c>
      <c r="F50" s="10">
        <v>3166.44</v>
      </c>
      <c r="G50" s="10">
        <v>1603.01</v>
      </c>
      <c r="H50" s="10">
        <v>197902.58</v>
      </c>
      <c r="I50" s="62">
        <v>0.5</v>
      </c>
      <c r="K50" s="63" t="s">
        <v>275</v>
      </c>
      <c r="L50" s="62">
        <v>1</v>
      </c>
      <c r="M50" s="38">
        <v>384015</v>
      </c>
      <c r="N50" s="5"/>
    </row>
    <row r="51" spans="1:16">
      <c r="A51" s="15" t="s">
        <v>270</v>
      </c>
      <c r="B51" s="25" t="s">
        <v>271</v>
      </c>
      <c r="C51" s="39">
        <v>83</v>
      </c>
      <c r="D51" s="9">
        <v>41451</v>
      </c>
      <c r="E51" s="12" t="s">
        <v>59</v>
      </c>
      <c r="F51" s="10">
        <v>8396.19</v>
      </c>
      <c r="G51" s="10">
        <v>4250.57</v>
      </c>
      <c r="H51" s="10">
        <v>524761.81000000006</v>
      </c>
      <c r="I51" s="62">
        <v>1</v>
      </c>
      <c r="K51" s="63" t="s">
        <v>101</v>
      </c>
      <c r="L51" s="62">
        <v>1.5</v>
      </c>
      <c r="M51" s="38">
        <v>645213.53</v>
      </c>
      <c r="N51" s="5"/>
    </row>
    <row r="52" spans="1:16" s="7" customFormat="1">
      <c r="A52" s="15" t="s">
        <v>270</v>
      </c>
      <c r="B52" s="25" t="s">
        <v>272</v>
      </c>
      <c r="C52" s="39">
        <v>33</v>
      </c>
      <c r="D52" s="9">
        <v>41453</v>
      </c>
      <c r="E52" s="12" t="s">
        <v>59</v>
      </c>
      <c r="F52" s="10">
        <v>9452.3700000000008</v>
      </c>
      <c r="G52" s="10">
        <v>4785.26</v>
      </c>
      <c r="H52" s="10">
        <v>590773.03</v>
      </c>
      <c r="I52" s="62">
        <v>1</v>
      </c>
      <c r="K52" s="63" t="s">
        <v>140</v>
      </c>
      <c r="L52" s="62">
        <v>1</v>
      </c>
      <c r="M52" s="38">
        <v>311136</v>
      </c>
      <c r="N52" s="5"/>
      <c r="O52" s="64"/>
    </row>
    <row r="53" spans="1:16">
      <c r="A53" s="15" t="s">
        <v>270</v>
      </c>
      <c r="B53" s="25" t="s">
        <v>271</v>
      </c>
      <c r="C53" s="39">
        <v>34</v>
      </c>
      <c r="D53" s="9">
        <v>41455</v>
      </c>
      <c r="E53" s="12" t="s">
        <v>296</v>
      </c>
      <c r="F53" s="10">
        <v>3166.44</v>
      </c>
      <c r="G53" s="10">
        <v>1603.01</v>
      </c>
      <c r="H53" s="10">
        <v>197902.58</v>
      </c>
      <c r="I53" s="62">
        <v>0.5</v>
      </c>
      <c r="K53" s="63" t="s">
        <v>198</v>
      </c>
      <c r="L53" s="62">
        <v>2</v>
      </c>
      <c r="M53" s="38">
        <v>753854.95</v>
      </c>
      <c r="N53" s="5"/>
      <c r="O53" s="64"/>
    </row>
    <row r="54" spans="1:16">
      <c r="A54" s="15" t="s">
        <v>146</v>
      </c>
      <c r="B54" s="25" t="s">
        <v>85</v>
      </c>
      <c r="C54" s="42">
        <v>2112</v>
      </c>
      <c r="D54" s="9">
        <v>41434</v>
      </c>
      <c r="E54" s="12" t="s">
        <v>77</v>
      </c>
      <c r="F54" s="10">
        <v>5450.3</v>
      </c>
      <c r="G54" s="10">
        <v>3783.19</v>
      </c>
      <c r="H54" s="10">
        <v>340643.86</v>
      </c>
      <c r="I54" s="62">
        <v>0.5</v>
      </c>
      <c r="K54" s="63" t="s">
        <v>290</v>
      </c>
      <c r="L54" s="62">
        <v>3.5</v>
      </c>
      <c r="M54" s="38">
        <v>1664863.15</v>
      </c>
      <c r="N54" s="5"/>
    </row>
    <row r="55" spans="1:16">
      <c r="A55" s="15" t="s">
        <v>145</v>
      </c>
      <c r="B55" s="25" t="s">
        <v>85</v>
      </c>
      <c r="C55" s="39">
        <v>1508</v>
      </c>
      <c r="D55" s="12">
        <v>41437</v>
      </c>
      <c r="E55" s="12" t="s">
        <v>77</v>
      </c>
      <c r="F55" s="10">
        <v>3149.6</v>
      </c>
      <c r="G55" s="10">
        <v>0</v>
      </c>
      <c r="H55" s="10">
        <v>196850</v>
      </c>
      <c r="I55" s="62">
        <v>0.5</v>
      </c>
      <c r="K55" s="63" t="s">
        <v>284</v>
      </c>
      <c r="L55" s="62">
        <v>1</v>
      </c>
      <c r="M55" s="38">
        <v>512328.88</v>
      </c>
      <c r="N55" s="5"/>
    </row>
    <row r="56" spans="1:16">
      <c r="A56" s="15" t="s">
        <v>145</v>
      </c>
      <c r="B56" s="25" t="s">
        <v>85</v>
      </c>
      <c r="C56" s="39">
        <v>508</v>
      </c>
      <c r="D56" s="12">
        <v>41437</v>
      </c>
      <c r="E56" s="12" t="s">
        <v>77</v>
      </c>
      <c r="F56" s="10">
        <v>3043.2</v>
      </c>
      <c r="G56" s="10">
        <v>0</v>
      </c>
      <c r="H56" s="10">
        <v>190200</v>
      </c>
      <c r="I56" s="62">
        <v>0.5</v>
      </c>
      <c r="K56" s="63" t="s">
        <v>263</v>
      </c>
      <c r="L56" s="62">
        <v>1</v>
      </c>
      <c r="M56" s="38">
        <v>511460.85</v>
      </c>
      <c r="N56" s="5"/>
    </row>
    <row r="57" spans="1:16">
      <c r="A57" s="15" t="s">
        <v>270</v>
      </c>
      <c r="B57" s="25" t="s">
        <v>272</v>
      </c>
      <c r="C57" s="39">
        <v>31</v>
      </c>
      <c r="D57" s="9">
        <v>41451</v>
      </c>
      <c r="E57" s="12" t="s">
        <v>55</v>
      </c>
      <c r="F57" s="10">
        <v>5225.7700000000004</v>
      </c>
      <c r="G57" s="10">
        <v>2645.55</v>
      </c>
      <c r="H57" s="10">
        <v>326610.53000000003</v>
      </c>
      <c r="I57" s="34">
        <v>0.5</v>
      </c>
      <c r="K57" s="63" t="s">
        <v>286</v>
      </c>
      <c r="L57" s="62">
        <v>0.5</v>
      </c>
      <c r="M57" s="38">
        <v>225312.27</v>
      </c>
      <c r="N57" s="5"/>
      <c r="O57" s="50"/>
    </row>
    <row r="58" spans="1:16">
      <c r="A58" s="15" t="s">
        <v>270</v>
      </c>
      <c r="B58" s="25" t="s">
        <v>271</v>
      </c>
      <c r="C58" s="39">
        <v>32</v>
      </c>
      <c r="D58" s="9">
        <v>41452</v>
      </c>
      <c r="E58" s="12" t="s">
        <v>55</v>
      </c>
      <c r="F58" s="10">
        <v>3559.53</v>
      </c>
      <c r="G58" s="10">
        <v>1802.01</v>
      </c>
      <c r="H58" s="10">
        <v>222470.45</v>
      </c>
      <c r="I58" s="34">
        <v>0.5</v>
      </c>
      <c r="K58" s="63" t="s">
        <v>239</v>
      </c>
      <c r="L58" s="62">
        <v>1</v>
      </c>
      <c r="M58" s="38">
        <v>374700</v>
      </c>
      <c r="N58" s="5"/>
    </row>
    <row r="59" spans="1:16">
      <c r="A59" s="15" t="s">
        <v>270</v>
      </c>
      <c r="B59" s="25" t="s">
        <v>273</v>
      </c>
      <c r="C59" s="39">
        <v>87</v>
      </c>
      <c r="D59" s="9">
        <v>41451</v>
      </c>
      <c r="E59" s="12" t="s">
        <v>55</v>
      </c>
      <c r="F59" s="10">
        <v>7725.09</v>
      </c>
      <c r="G59" s="10">
        <v>3910.83</v>
      </c>
      <c r="H59" s="10">
        <v>482818.43</v>
      </c>
      <c r="I59" s="34">
        <v>1</v>
      </c>
      <c r="K59" s="20" t="s">
        <v>262</v>
      </c>
      <c r="L59" s="61">
        <v>1</v>
      </c>
      <c r="M59" s="38">
        <v>241840</v>
      </c>
      <c r="N59" s="5"/>
      <c r="O59" s="64"/>
    </row>
    <row r="60" spans="1:16">
      <c r="A60" s="15" t="s">
        <v>81</v>
      </c>
      <c r="B60" s="25" t="s">
        <v>85</v>
      </c>
      <c r="C60" s="39">
        <v>101</v>
      </c>
      <c r="D60" s="9">
        <v>41453</v>
      </c>
      <c r="E60" s="12" t="s">
        <v>266</v>
      </c>
      <c r="F60" s="10">
        <f>H60*2%</f>
        <v>10143.6</v>
      </c>
      <c r="G60" s="10">
        <f>12730.22-F60</f>
        <v>2586.619999999999</v>
      </c>
      <c r="H60" s="10">
        <v>507180</v>
      </c>
      <c r="I60" s="62">
        <v>1</v>
      </c>
      <c r="K60" s="20" t="s">
        <v>34</v>
      </c>
      <c r="L60" s="61">
        <v>1</v>
      </c>
      <c r="M60" s="38">
        <v>228000</v>
      </c>
      <c r="N60" s="5"/>
    </row>
    <row r="61" spans="1:16">
      <c r="A61" s="15" t="s">
        <v>81</v>
      </c>
      <c r="B61" s="25" t="s">
        <v>85</v>
      </c>
      <c r="C61" s="39">
        <v>131</v>
      </c>
      <c r="D61" s="9">
        <v>41453</v>
      </c>
      <c r="E61" s="12" t="s">
        <v>266</v>
      </c>
      <c r="F61" s="10">
        <f>H61*2%</f>
        <v>10353.219999999999</v>
      </c>
      <c r="G61" s="10">
        <f>13303.89-F61</f>
        <v>2950.67</v>
      </c>
      <c r="H61" s="10">
        <v>517661</v>
      </c>
      <c r="I61" s="62">
        <v>1</v>
      </c>
      <c r="K61" s="63" t="s">
        <v>52</v>
      </c>
      <c r="L61" s="62">
        <v>1</v>
      </c>
      <c r="M61" s="38">
        <v>2300000</v>
      </c>
      <c r="N61" s="5"/>
      <c r="O61" s="64"/>
      <c r="P61" s="5">
        <f>N61</f>
        <v>0</v>
      </c>
    </row>
    <row r="62" spans="1:16">
      <c r="A62" s="15" t="s">
        <v>116</v>
      </c>
      <c r="B62" s="25" t="s">
        <v>136</v>
      </c>
      <c r="C62" s="39">
        <v>135</v>
      </c>
      <c r="D62" s="9">
        <v>41436</v>
      </c>
      <c r="E62" s="12" t="s">
        <v>181</v>
      </c>
      <c r="F62" s="10">
        <v>9946.2900000000009</v>
      </c>
      <c r="G62" s="10">
        <v>0</v>
      </c>
      <c r="H62" s="10">
        <v>248657.21</v>
      </c>
      <c r="I62" s="62">
        <v>1</v>
      </c>
      <c r="K62" s="63" t="s">
        <v>298</v>
      </c>
      <c r="L62" s="62">
        <v>0.5</v>
      </c>
      <c r="M62" s="38">
        <v>222914.63</v>
      </c>
      <c r="N62" s="5"/>
      <c r="O62" s="64"/>
    </row>
    <row r="63" spans="1:16">
      <c r="A63" s="15" t="s">
        <v>138</v>
      </c>
      <c r="B63" s="25" t="s">
        <v>249</v>
      </c>
      <c r="C63" s="39">
        <v>75</v>
      </c>
      <c r="D63" s="9">
        <v>41442</v>
      </c>
      <c r="E63" s="12" t="s">
        <v>181</v>
      </c>
      <c r="F63" s="10">
        <v>6299.38</v>
      </c>
      <c r="G63" s="10">
        <v>0</v>
      </c>
      <c r="H63" s="10">
        <v>185276</v>
      </c>
      <c r="I63" s="62">
        <v>1</v>
      </c>
      <c r="K63" s="63" t="s">
        <v>84</v>
      </c>
      <c r="L63" s="62">
        <v>1</v>
      </c>
      <c r="M63" s="38">
        <v>398919.4</v>
      </c>
      <c r="N63" s="5"/>
    </row>
    <row r="64" spans="1:16">
      <c r="A64" s="15" t="s">
        <v>270</v>
      </c>
      <c r="B64" s="25" t="s">
        <v>271</v>
      </c>
      <c r="C64" s="39">
        <v>87</v>
      </c>
      <c r="D64" s="12">
        <v>41451</v>
      </c>
      <c r="E64" s="12" t="s">
        <v>181</v>
      </c>
      <c r="F64" s="10">
        <v>4193.8500000000004</v>
      </c>
      <c r="G64" s="10">
        <v>1592.35</v>
      </c>
      <c r="H64" s="10">
        <v>262115.65</v>
      </c>
      <c r="I64" s="34">
        <v>0.5</v>
      </c>
      <c r="K64" s="63"/>
      <c r="L64" s="62"/>
      <c r="M64" s="38"/>
      <c r="N64" s="5"/>
    </row>
    <row r="65" spans="1:16">
      <c r="A65" s="15" t="s">
        <v>270</v>
      </c>
      <c r="B65" s="25" t="s">
        <v>271</v>
      </c>
      <c r="C65" s="39">
        <v>84</v>
      </c>
      <c r="D65" s="9">
        <v>41455</v>
      </c>
      <c r="E65" s="12" t="s">
        <v>181</v>
      </c>
      <c r="F65" s="10">
        <v>6440</v>
      </c>
      <c r="G65" s="10">
        <v>2716.88</v>
      </c>
      <c r="H65" s="10">
        <v>402500</v>
      </c>
      <c r="I65" s="34">
        <v>1</v>
      </c>
      <c r="K65" s="63"/>
      <c r="L65" s="62"/>
      <c r="M65" s="38"/>
      <c r="N65" s="5"/>
      <c r="O65" s="64"/>
    </row>
    <row r="66" spans="1:16">
      <c r="A66" s="15" t="s">
        <v>270</v>
      </c>
      <c r="B66" s="25" t="s">
        <v>271</v>
      </c>
      <c r="C66" s="39">
        <v>65</v>
      </c>
      <c r="D66" s="9">
        <v>41451</v>
      </c>
      <c r="E66" s="12" t="s">
        <v>181</v>
      </c>
      <c r="F66" s="10">
        <v>6427.41</v>
      </c>
      <c r="G66" s="10">
        <v>2711.56</v>
      </c>
      <c r="H66" s="10">
        <v>401713.27</v>
      </c>
      <c r="I66" s="34">
        <v>1</v>
      </c>
      <c r="K66" s="63"/>
      <c r="L66" s="62"/>
      <c r="M66" s="38"/>
    </row>
    <row r="67" spans="1:16">
      <c r="A67" s="15" t="s">
        <v>270</v>
      </c>
      <c r="B67" s="25" t="s">
        <v>273</v>
      </c>
      <c r="C67" s="39">
        <v>57</v>
      </c>
      <c r="D67" s="12">
        <v>41450</v>
      </c>
      <c r="E67" s="12" t="s">
        <v>181</v>
      </c>
      <c r="F67" s="10">
        <v>8008.45</v>
      </c>
      <c r="G67" s="10">
        <v>3378.57</v>
      </c>
      <c r="H67" s="10">
        <v>500528.43</v>
      </c>
      <c r="I67" s="34">
        <v>1</v>
      </c>
      <c r="K67" s="63"/>
      <c r="L67" s="62"/>
      <c r="M67" s="38"/>
      <c r="O67" s="64"/>
    </row>
    <row r="68" spans="1:16">
      <c r="A68" s="15" t="s">
        <v>270</v>
      </c>
      <c r="B68" s="25" t="s">
        <v>271</v>
      </c>
      <c r="C68" s="39">
        <v>54</v>
      </c>
      <c r="D68" s="9">
        <v>41452</v>
      </c>
      <c r="E68" s="12" t="s">
        <v>181</v>
      </c>
      <c r="F68" s="10">
        <v>6298.05</v>
      </c>
      <c r="G68" s="10">
        <v>2656.99</v>
      </c>
      <c r="H68" s="10">
        <v>393628.07</v>
      </c>
      <c r="I68" s="62">
        <v>1</v>
      </c>
      <c r="K68" s="63"/>
      <c r="L68" s="62"/>
      <c r="M68" s="38"/>
    </row>
    <row r="69" spans="1:16">
      <c r="A69" s="15" t="s">
        <v>270</v>
      </c>
      <c r="B69" s="25" t="s">
        <v>273</v>
      </c>
      <c r="C69" s="39">
        <v>46</v>
      </c>
      <c r="D69" s="9">
        <v>41450</v>
      </c>
      <c r="E69" s="12" t="s">
        <v>181</v>
      </c>
      <c r="F69" s="10">
        <v>7783.55</v>
      </c>
      <c r="G69" s="10">
        <v>3283.68</v>
      </c>
      <c r="H69" s="10">
        <v>486471.79</v>
      </c>
      <c r="I69" s="34">
        <v>1</v>
      </c>
      <c r="K69" s="63"/>
      <c r="L69" s="62"/>
      <c r="M69" s="38"/>
    </row>
    <row r="70" spans="1:16">
      <c r="A70" s="15" t="s">
        <v>138</v>
      </c>
      <c r="B70" s="25" t="s">
        <v>300</v>
      </c>
      <c r="C70" s="39">
        <v>35</v>
      </c>
      <c r="D70" s="9">
        <v>41453</v>
      </c>
      <c r="E70" s="12" t="s">
        <v>301</v>
      </c>
      <c r="F70" s="10">
        <v>7559.33</v>
      </c>
      <c r="G70" s="10">
        <v>0</v>
      </c>
      <c r="H70" s="10">
        <v>222333.29</v>
      </c>
      <c r="I70" s="34">
        <v>1</v>
      </c>
      <c r="K70" s="63"/>
      <c r="L70" s="62"/>
      <c r="M70" s="38"/>
    </row>
    <row r="71" spans="1:16">
      <c r="A71" s="15" t="s">
        <v>270</v>
      </c>
      <c r="B71" s="25" t="s">
        <v>273</v>
      </c>
      <c r="C71" s="42">
        <v>13</v>
      </c>
      <c r="D71" s="9">
        <v>41452</v>
      </c>
      <c r="E71" s="12" t="s">
        <v>252</v>
      </c>
      <c r="F71" s="10">
        <v>3566.63</v>
      </c>
      <c r="G71" s="10">
        <v>1354.21</v>
      </c>
      <c r="H71" s="10">
        <v>222914.63</v>
      </c>
      <c r="I71" s="62">
        <v>0.5</v>
      </c>
      <c r="K71" s="63"/>
      <c r="L71" s="62"/>
      <c r="M71" s="38"/>
      <c r="N71" s="5"/>
      <c r="O71" s="64"/>
    </row>
    <row r="72" spans="1:16">
      <c r="A72" s="15" t="s">
        <v>146</v>
      </c>
      <c r="B72" s="25" t="s">
        <v>82</v>
      </c>
      <c r="C72" s="39">
        <v>1316</v>
      </c>
      <c r="D72" s="12">
        <v>41441</v>
      </c>
      <c r="E72" s="12" t="s">
        <v>252</v>
      </c>
      <c r="F72" s="10">
        <v>6305.93</v>
      </c>
      <c r="G72" s="10">
        <v>3645.62</v>
      </c>
      <c r="H72" s="10">
        <v>394120.81</v>
      </c>
      <c r="I72" s="62">
        <v>1</v>
      </c>
      <c r="K72" s="63"/>
      <c r="L72" s="62"/>
      <c r="M72" s="38"/>
      <c r="N72" s="5"/>
      <c r="O72" s="64"/>
    </row>
    <row r="73" spans="1:16">
      <c r="A73" s="15" t="s">
        <v>270</v>
      </c>
      <c r="B73" s="25" t="s">
        <v>278</v>
      </c>
      <c r="C73" s="39">
        <v>83</v>
      </c>
      <c r="D73" s="9">
        <v>41451</v>
      </c>
      <c r="E73" s="12" t="s">
        <v>252</v>
      </c>
      <c r="F73" s="10">
        <v>10708.63</v>
      </c>
      <c r="G73" s="10">
        <v>2844.48</v>
      </c>
      <c r="H73" s="10">
        <v>669289.18000000005</v>
      </c>
      <c r="I73" s="34">
        <v>1</v>
      </c>
      <c r="K73" s="63"/>
      <c r="L73" s="62"/>
      <c r="M73" s="38"/>
      <c r="N73" s="5"/>
      <c r="O73" s="50"/>
    </row>
    <row r="74" spans="1:16" s="7" customFormat="1">
      <c r="A74" s="15" t="s">
        <v>145</v>
      </c>
      <c r="B74" s="25" t="s">
        <v>85</v>
      </c>
      <c r="C74" s="39">
        <v>1716</v>
      </c>
      <c r="D74" s="9">
        <v>41453</v>
      </c>
      <c r="E74" s="12" t="s">
        <v>252</v>
      </c>
      <c r="F74" s="10">
        <v>6482.74</v>
      </c>
      <c r="G74" s="10">
        <v>3747.83</v>
      </c>
      <c r="H74" s="10">
        <v>405170.97</v>
      </c>
      <c r="I74" s="34">
        <v>1</v>
      </c>
      <c r="K74" s="63"/>
      <c r="L74" s="62"/>
      <c r="M74" s="38"/>
    </row>
    <row r="75" spans="1:16" s="7" customFormat="1">
      <c r="A75" s="15" t="s">
        <v>299</v>
      </c>
      <c r="B75" s="25" t="s">
        <v>85</v>
      </c>
      <c r="C75" s="39">
        <v>203</v>
      </c>
      <c r="D75" s="9">
        <v>41455</v>
      </c>
      <c r="E75" s="12" t="s">
        <v>252</v>
      </c>
      <c r="F75" s="10">
        <v>14868</v>
      </c>
      <c r="G75" s="10">
        <v>0</v>
      </c>
      <c r="H75" s="10">
        <v>371700</v>
      </c>
      <c r="I75" s="34">
        <v>1</v>
      </c>
      <c r="K75" s="17"/>
      <c r="L75" s="44"/>
      <c r="M75" s="16"/>
    </row>
    <row r="76" spans="1:16" s="7" customFormat="1">
      <c r="A76" s="15" t="s">
        <v>270</v>
      </c>
      <c r="B76" s="25" t="s">
        <v>278</v>
      </c>
      <c r="C76" s="39">
        <v>34</v>
      </c>
      <c r="D76" s="9">
        <v>41455</v>
      </c>
      <c r="E76" s="12" t="s">
        <v>304</v>
      </c>
      <c r="F76" s="10">
        <v>10142.64</v>
      </c>
      <c r="G76" s="10">
        <v>5134.71</v>
      </c>
      <c r="H76" s="10">
        <v>633914.91</v>
      </c>
      <c r="I76" s="62">
        <v>1</v>
      </c>
      <c r="J76" s="62"/>
      <c r="K76" s="18" t="s">
        <v>12</v>
      </c>
      <c r="L76" s="70">
        <f>SUM(L4:L75)</f>
        <v>80.5</v>
      </c>
      <c r="M76" s="19">
        <f>SUM(M4:M75)</f>
        <v>39930728.970000006</v>
      </c>
      <c r="O76" s="64"/>
      <c r="P76" s="6"/>
    </row>
    <row r="77" spans="1:16" s="7" customFormat="1">
      <c r="A77" s="15" t="s">
        <v>146</v>
      </c>
      <c r="B77" s="25" t="s">
        <v>85</v>
      </c>
      <c r="C77" s="42">
        <v>2610</v>
      </c>
      <c r="D77" s="9">
        <v>41430</v>
      </c>
      <c r="E77" s="12" t="s">
        <v>180</v>
      </c>
      <c r="F77" s="10">
        <v>3267.2</v>
      </c>
      <c r="G77" s="10">
        <v>1188.44</v>
      </c>
      <c r="H77" s="10">
        <v>204200</v>
      </c>
      <c r="I77" s="62">
        <v>0.5</v>
      </c>
      <c r="K77" s="1"/>
      <c r="L77" s="1"/>
      <c r="M77" s="1"/>
      <c r="O77" s="64"/>
      <c r="P77" s="64"/>
    </row>
    <row r="78" spans="1:16" s="7" customFormat="1">
      <c r="A78" s="15" t="s">
        <v>270</v>
      </c>
      <c r="B78" s="25" t="s">
        <v>271</v>
      </c>
      <c r="C78" s="39">
        <v>74</v>
      </c>
      <c r="D78" s="9">
        <v>41451</v>
      </c>
      <c r="E78" s="12" t="s">
        <v>302</v>
      </c>
      <c r="F78" s="10">
        <v>6451.27</v>
      </c>
      <c r="G78" s="10">
        <v>3265.96</v>
      </c>
      <c r="H78" s="10">
        <v>403204.43</v>
      </c>
      <c r="I78" s="34">
        <v>1</v>
      </c>
      <c r="K78" s="220" t="s">
        <v>30</v>
      </c>
      <c r="L78" s="221"/>
      <c r="M78" s="222"/>
      <c r="P78" s="64"/>
    </row>
    <row r="79" spans="1:16" s="7" customFormat="1">
      <c r="A79" s="15" t="s">
        <v>270</v>
      </c>
      <c r="B79" s="25" t="s">
        <v>272</v>
      </c>
      <c r="C79" s="39">
        <v>64</v>
      </c>
      <c r="D79" s="9">
        <v>41450</v>
      </c>
      <c r="E79" s="12" t="s">
        <v>302</v>
      </c>
      <c r="F79" s="10">
        <v>10659.52</v>
      </c>
      <c r="G79" s="10">
        <v>5396.38</v>
      </c>
      <c r="H79" s="10">
        <v>666220.05000000005</v>
      </c>
      <c r="I79" s="34">
        <v>1</v>
      </c>
      <c r="K79" s="8" t="s">
        <v>4</v>
      </c>
      <c r="L79" s="8" t="s">
        <v>5</v>
      </c>
      <c r="M79" s="8" t="s">
        <v>3</v>
      </c>
    </row>
    <row r="80" spans="1:16" s="7" customFormat="1">
      <c r="A80" s="15" t="s">
        <v>270</v>
      </c>
      <c r="B80" s="25" t="s">
        <v>273</v>
      </c>
      <c r="C80" s="39">
        <v>58</v>
      </c>
      <c r="D80" s="9">
        <v>41452</v>
      </c>
      <c r="E80" s="12" t="s">
        <v>302</v>
      </c>
      <c r="F80" s="10">
        <v>6103.57</v>
      </c>
      <c r="G80" s="10">
        <v>3089.93</v>
      </c>
      <c r="H80" s="10">
        <v>381473</v>
      </c>
      <c r="I80" s="34">
        <v>1</v>
      </c>
      <c r="K80" s="47" t="s">
        <v>12</v>
      </c>
      <c r="L80" s="48">
        <f>SUM(L81:L83)</f>
        <v>13</v>
      </c>
      <c r="M80" s="49">
        <f>SUM(M77:M79)</f>
        <v>0</v>
      </c>
    </row>
    <row r="81" spans="1:13" s="7" customFormat="1">
      <c r="A81" s="15" t="s">
        <v>270</v>
      </c>
      <c r="B81" s="25" t="s">
        <v>201</v>
      </c>
      <c r="C81" s="42" t="s">
        <v>303</v>
      </c>
      <c r="D81" s="9">
        <v>41451</v>
      </c>
      <c r="E81" s="12" t="s">
        <v>302</v>
      </c>
      <c r="F81" s="10">
        <v>480</v>
      </c>
      <c r="G81" s="10">
        <v>0</v>
      </c>
      <c r="H81" s="10">
        <v>30000</v>
      </c>
      <c r="I81" s="62">
        <v>1</v>
      </c>
      <c r="K81" s="12" t="s">
        <v>156</v>
      </c>
      <c r="L81" s="61">
        <f>SUM(I71:I75)</f>
        <v>4.5</v>
      </c>
      <c r="M81" s="43">
        <f>SUM(H71:H75)</f>
        <v>2063195.59</v>
      </c>
    </row>
    <row r="82" spans="1:13" s="7" customFormat="1">
      <c r="A82" s="15" t="s">
        <v>270</v>
      </c>
      <c r="B82" s="25" t="s">
        <v>278</v>
      </c>
      <c r="C82" s="39">
        <v>74</v>
      </c>
      <c r="D82" s="9">
        <v>41450</v>
      </c>
      <c r="E82" s="12" t="s">
        <v>297</v>
      </c>
      <c r="F82" s="10">
        <v>10344.469999999999</v>
      </c>
      <c r="G82" s="10">
        <v>5236.8900000000003</v>
      </c>
      <c r="H82" s="10">
        <v>646529.66</v>
      </c>
      <c r="I82" s="34">
        <v>1</v>
      </c>
      <c r="K82" s="12" t="s">
        <v>135</v>
      </c>
      <c r="L82" s="41">
        <f>SUM(I62:I69)</f>
        <v>7.5</v>
      </c>
      <c r="M82" s="10">
        <f>SUM(H62:H69)</f>
        <v>2880890.42</v>
      </c>
    </row>
    <row r="83" spans="1:13" s="7" customFormat="1" ht="13.5" customHeight="1">
      <c r="A83" s="15" t="s">
        <v>146</v>
      </c>
      <c r="B83" s="25" t="s">
        <v>85</v>
      </c>
      <c r="C83" s="42">
        <v>2112</v>
      </c>
      <c r="D83" s="9">
        <v>41434</v>
      </c>
      <c r="E83" s="12" t="s">
        <v>78</v>
      </c>
      <c r="F83" s="10">
        <v>5450.3</v>
      </c>
      <c r="G83" s="10">
        <v>3783.19</v>
      </c>
      <c r="H83" s="10">
        <v>340643.86</v>
      </c>
      <c r="I83" s="62">
        <v>0.5</v>
      </c>
      <c r="K83" s="12" t="s">
        <v>157</v>
      </c>
      <c r="L83" s="41">
        <v>1</v>
      </c>
      <c r="M83" s="43">
        <f>H70</f>
        <v>222333.29</v>
      </c>
    </row>
    <row r="84" spans="1:13" s="7" customFormat="1">
      <c r="A84" s="15" t="s">
        <v>145</v>
      </c>
      <c r="B84" s="25" t="s">
        <v>85</v>
      </c>
      <c r="C84" s="39">
        <v>1508</v>
      </c>
      <c r="D84" s="12">
        <v>41437</v>
      </c>
      <c r="E84" s="12" t="s">
        <v>78</v>
      </c>
      <c r="F84" s="10">
        <v>3149.6</v>
      </c>
      <c r="G84" s="10">
        <v>0</v>
      </c>
      <c r="H84" s="10">
        <v>196850</v>
      </c>
      <c r="I84" s="62">
        <v>0.5</v>
      </c>
      <c r="K84" s="47" t="s">
        <v>12</v>
      </c>
      <c r="L84" s="48">
        <f>SUM(L81:L83)</f>
        <v>13</v>
      </c>
      <c r="M84" s="49">
        <f>SUM(M81:M83)</f>
        <v>5166419.3</v>
      </c>
    </row>
    <row r="85" spans="1:13" s="7" customFormat="1">
      <c r="A85" s="15" t="s">
        <v>145</v>
      </c>
      <c r="B85" s="25" t="s">
        <v>85</v>
      </c>
      <c r="C85" s="39">
        <v>508</v>
      </c>
      <c r="D85" s="12">
        <v>41437</v>
      </c>
      <c r="E85" s="12" t="s">
        <v>78</v>
      </c>
      <c r="F85" s="10">
        <v>3043.2</v>
      </c>
      <c r="G85" s="10">
        <v>0</v>
      </c>
      <c r="H85" s="10">
        <v>190200</v>
      </c>
      <c r="I85" s="62">
        <v>0.5</v>
      </c>
    </row>
    <row r="86" spans="1:13" s="7" customFormat="1">
      <c r="A86" s="15" t="s">
        <v>270</v>
      </c>
      <c r="B86" s="25" t="s">
        <v>273</v>
      </c>
      <c r="C86" s="39">
        <v>33</v>
      </c>
      <c r="D86" s="9">
        <v>41455</v>
      </c>
      <c r="E86" s="12" t="s">
        <v>78</v>
      </c>
      <c r="F86" s="10">
        <v>3533.2</v>
      </c>
      <c r="G86" s="10">
        <v>1126.21</v>
      </c>
      <c r="H86" s="10">
        <v>220825</v>
      </c>
      <c r="I86" s="62">
        <v>0.5</v>
      </c>
      <c r="K86" s="220" t="s">
        <v>14</v>
      </c>
      <c r="L86" s="221"/>
      <c r="M86" s="222"/>
    </row>
    <row r="87" spans="1:13" s="7" customFormat="1">
      <c r="A87" s="15" t="s">
        <v>270</v>
      </c>
      <c r="B87" s="25" t="s">
        <v>278</v>
      </c>
      <c r="C87" s="39">
        <v>22</v>
      </c>
      <c r="D87" s="9">
        <v>41455</v>
      </c>
      <c r="E87" s="12" t="s">
        <v>279</v>
      </c>
      <c r="F87" s="10">
        <v>10220.74</v>
      </c>
      <c r="G87" s="10">
        <v>5174.25</v>
      </c>
      <c r="H87" s="10">
        <v>638796</v>
      </c>
      <c r="I87" s="62">
        <v>1</v>
      </c>
      <c r="K87" s="8" t="s">
        <v>4</v>
      </c>
      <c r="L87" s="8" t="s">
        <v>5</v>
      </c>
      <c r="M87" s="8" t="s">
        <v>3</v>
      </c>
    </row>
    <row r="88" spans="1:13" s="7" customFormat="1">
      <c r="A88" s="15" t="s">
        <v>270</v>
      </c>
      <c r="B88" s="25" t="s">
        <v>271</v>
      </c>
      <c r="C88" s="39">
        <v>2</v>
      </c>
      <c r="D88" s="9">
        <v>41455</v>
      </c>
      <c r="E88" s="12" t="s">
        <v>196</v>
      </c>
      <c r="F88" s="10">
        <v>3894.8</v>
      </c>
      <c r="G88" s="10">
        <v>1971.74</v>
      </c>
      <c r="H88" s="10">
        <v>243425</v>
      </c>
      <c r="I88" s="34">
        <v>0.5</v>
      </c>
      <c r="K88" s="12" t="s">
        <v>133</v>
      </c>
      <c r="L88" s="46"/>
      <c r="M88" s="36"/>
    </row>
    <row r="89" spans="1:13" s="7" customFormat="1">
      <c r="A89" s="15" t="s">
        <v>270</v>
      </c>
      <c r="B89" s="25" t="s">
        <v>273</v>
      </c>
      <c r="C89" s="42">
        <v>48</v>
      </c>
      <c r="D89" s="9">
        <v>41450</v>
      </c>
      <c r="E89" s="12" t="s">
        <v>289</v>
      </c>
      <c r="F89" s="10">
        <v>3072.84</v>
      </c>
      <c r="G89" s="10">
        <v>1555.62</v>
      </c>
      <c r="H89" s="10">
        <v>192052.43</v>
      </c>
      <c r="I89" s="62">
        <v>0.5</v>
      </c>
      <c r="K89" s="12" t="s">
        <v>144</v>
      </c>
      <c r="L89" s="46"/>
      <c r="M89" s="36"/>
    </row>
    <row r="90" spans="1:13" s="7" customFormat="1">
      <c r="A90" s="15" t="s">
        <v>270</v>
      </c>
      <c r="B90" s="25" t="s">
        <v>273</v>
      </c>
      <c r="C90" s="42">
        <v>28</v>
      </c>
      <c r="D90" s="9">
        <v>41450</v>
      </c>
      <c r="E90" s="12" t="s">
        <v>289</v>
      </c>
      <c r="F90" s="10">
        <v>3011.69</v>
      </c>
      <c r="G90" s="10">
        <v>1524.67</v>
      </c>
      <c r="H90" s="10">
        <v>188230.72</v>
      </c>
      <c r="I90" s="62">
        <v>0.5</v>
      </c>
      <c r="K90" s="40"/>
      <c r="L90" s="46"/>
      <c r="M90" s="36"/>
    </row>
    <row r="91" spans="1:13" s="7" customFormat="1">
      <c r="A91" s="15" t="s">
        <v>270</v>
      </c>
      <c r="B91" s="25" t="s">
        <v>272</v>
      </c>
      <c r="C91" s="42">
        <v>23</v>
      </c>
      <c r="D91" s="9">
        <v>41455</v>
      </c>
      <c r="E91" s="42" t="s">
        <v>19</v>
      </c>
      <c r="F91" s="10">
        <v>0</v>
      </c>
      <c r="G91" s="10">
        <v>0</v>
      </c>
      <c r="H91" s="10">
        <v>604850</v>
      </c>
      <c r="I91" s="62">
        <v>1</v>
      </c>
      <c r="K91" s="47" t="s">
        <v>12</v>
      </c>
      <c r="L91" s="48">
        <f>SUM(L88:L90)</f>
        <v>0</v>
      </c>
      <c r="M91" s="49">
        <f>SUM(M88:M90)</f>
        <v>0</v>
      </c>
    </row>
    <row r="92" spans="1:13" s="7" customFormat="1">
      <c r="A92" s="11" t="s">
        <v>269</v>
      </c>
      <c r="B92" s="25" t="s">
        <v>85</v>
      </c>
      <c r="C92" s="25">
        <v>151</v>
      </c>
      <c r="D92" s="98">
        <v>41439</v>
      </c>
      <c r="E92" s="25" t="s">
        <v>267</v>
      </c>
      <c r="F92" s="105">
        <v>20947.29</v>
      </c>
      <c r="G92" s="105">
        <v>0</v>
      </c>
      <c r="H92" s="105">
        <v>568250</v>
      </c>
      <c r="I92" s="25">
        <v>0.25</v>
      </c>
      <c r="K92"/>
      <c r="L92" s="45"/>
      <c r="M92" s="6"/>
    </row>
    <row r="93" spans="1:13" s="7" customFormat="1">
      <c r="A93" s="15" t="s">
        <v>270</v>
      </c>
      <c r="B93" s="25" t="s">
        <v>271</v>
      </c>
      <c r="C93" s="39">
        <v>5</v>
      </c>
      <c r="D93" s="9">
        <v>41455</v>
      </c>
      <c r="E93" s="12" t="s">
        <v>277</v>
      </c>
      <c r="F93" s="10">
        <v>6173.12</v>
      </c>
      <c r="G93" s="10">
        <v>3125.14</v>
      </c>
      <c r="H93" s="10">
        <v>385819.99</v>
      </c>
      <c r="I93" s="62">
        <v>1</v>
      </c>
      <c r="K93"/>
      <c r="L93"/>
      <c r="M93"/>
    </row>
    <row r="94" spans="1:13" s="7" customFormat="1">
      <c r="A94" s="15" t="s">
        <v>270</v>
      </c>
      <c r="B94" s="25" t="s">
        <v>273</v>
      </c>
      <c r="C94" s="42">
        <v>53</v>
      </c>
      <c r="D94" s="9">
        <v>41451</v>
      </c>
      <c r="E94" s="12" t="s">
        <v>277</v>
      </c>
      <c r="F94" s="10">
        <v>7664.83</v>
      </c>
      <c r="G94" s="10">
        <v>3880.32</v>
      </c>
      <c r="H94" s="10">
        <v>479051.8</v>
      </c>
      <c r="I94" s="62">
        <v>1</v>
      </c>
      <c r="K94"/>
      <c r="L94"/>
      <c r="M94"/>
    </row>
    <row r="95" spans="1:13" s="7" customFormat="1">
      <c r="A95" s="15" t="s">
        <v>258</v>
      </c>
      <c r="B95" s="25" t="s">
        <v>85</v>
      </c>
      <c r="C95" s="39">
        <v>93</v>
      </c>
      <c r="D95" s="9">
        <v>41444</v>
      </c>
      <c r="E95" s="12" t="s">
        <v>43</v>
      </c>
      <c r="F95" s="10">
        <v>12600</v>
      </c>
      <c r="G95" s="10">
        <v>0</v>
      </c>
      <c r="H95" s="10">
        <v>630000</v>
      </c>
      <c r="I95" s="62">
        <v>1</v>
      </c>
    </row>
    <row r="96" spans="1:13" s="7" customFormat="1">
      <c r="A96" s="15" t="s">
        <v>57</v>
      </c>
      <c r="B96" s="25" t="s">
        <v>85</v>
      </c>
      <c r="C96" s="42">
        <v>196</v>
      </c>
      <c r="D96" s="9">
        <v>41439</v>
      </c>
      <c r="E96" s="12" t="s">
        <v>253</v>
      </c>
      <c r="F96" s="10">
        <v>6670.29</v>
      </c>
      <c r="G96" s="10">
        <v>0</v>
      </c>
      <c r="H96" s="10">
        <v>333514.5</v>
      </c>
      <c r="I96" s="62">
        <v>1</v>
      </c>
    </row>
    <row r="97" spans="1:13" s="7" customFormat="1">
      <c r="A97" s="15" t="s">
        <v>270</v>
      </c>
      <c r="B97" s="25" t="s">
        <v>273</v>
      </c>
      <c r="C97" s="39">
        <v>24</v>
      </c>
      <c r="D97" s="9">
        <v>41452</v>
      </c>
      <c r="E97" s="12" t="s">
        <v>305</v>
      </c>
      <c r="F97" s="10">
        <v>5296.8</v>
      </c>
      <c r="G97" s="10">
        <v>2681.51</v>
      </c>
      <c r="H97" s="10">
        <v>331050</v>
      </c>
      <c r="I97" s="62">
        <v>1</v>
      </c>
      <c r="K97" s="64"/>
      <c r="L97"/>
      <c r="M97"/>
    </row>
    <row r="98" spans="1:13" s="7" customFormat="1">
      <c r="A98" s="15" t="s">
        <v>270</v>
      </c>
      <c r="B98" s="25" t="s">
        <v>273</v>
      </c>
      <c r="C98" s="39">
        <v>62</v>
      </c>
      <c r="D98" s="9">
        <v>41451</v>
      </c>
      <c r="E98" s="12" t="s">
        <v>63</v>
      </c>
      <c r="F98" s="10">
        <v>3936.26</v>
      </c>
      <c r="G98" s="10">
        <v>1992.73</v>
      </c>
      <c r="H98" s="10">
        <v>246016</v>
      </c>
      <c r="I98" s="34">
        <v>0.5</v>
      </c>
      <c r="K98"/>
      <c r="L98"/>
      <c r="M98"/>
    </row>
    <row r="99" spans="1:13" s="7" customFormat="1">
      <c r="A99" s="15" t="s">
        <v>270</v>
      </c>
      <c r="B99" s="25" t="s">
        <v>273</v>
      </c>
      <c r="C99" s="39">
        <v>82</v>
      </c>
      <c r="D99" s="9">
        <v>41451</v>
      </c>
      <c r="E99" s="12" t="s">
        <v>63</v>
      </c>
      <c r="F99" s="10">
        <v>5151.51</v>
      </c>
      <c r="G99" s="10">
        <v>0</v>
      </c>
      <c r="H99" s="10">
        <v>321969.43</v>
      </c>
      <c r="I99" s="34">
        <v>0.5</v>
      </c>
      <c r="K99"/>
      <c r="L99"/>
      <c r="M99"/>
    </row>
    <row r="100" spans="1:13" s="7" customFormat="1" ht="14.25" customHeight="1">
      <c r="A100" s="15" t="s">
        <v>270</v>
      </c>
      <c r="B100" s="25" t="s">
        <v>273</v>
      </c>
      <c r="C100" s="39">
        <v>51</v>
      </c>
      <c r="D100" s="9">
        <v>41455</v>
      </c>
      <c r="E100" s="12" t="s">
        <v>275</v>
      </c>
      <c r="F100" s="10">
        <v>6144.24</v>
      </c>
      <c r="G100" s="10">
        <v>2119.7600000000002</v>
      </c>
      <c r="H100" s="10">
        <v>384015</v>
      </c>
      <c r="I100" s="62">
        <v>1</v>
      </c>
      <c r="K100"/>
      <c r="L100"/>
      <c r="M100"/>
    </row>
    <row r="101" spans="1:13" s="7" customFormat="1">
      <c r="A101" s="15" t="s">
        <v>146</v>
      </c>
      <c r="B101" s="25" t="s">
        <v>85</v>
      </c>
      <c r="C101" s="39">
        <v>1906</v>
      </c>
      <c r="D101" s="9">
        <v>41398</v>
      </c>
      <c r="E101" s="12" t="s">
        <v>101</v>
      </c>
      <c r="F101" s="10">
        <v>6428.62</v>
      </c>
      <c r="G101" s="10">
        <v>4459.8500000000004</v>
      </c>
      <c r="H101" s="10">
        <v>401788.53</v>
      </c>
      <c r="I101" s="62">
        <v>1</v>
      </c>
    </row>
    <row r="102" spans="1:13" s="7" customFormat="1">
      <c r="A102" s="15" t="s">
        <v>270</v>
      </c>
      <c r="B102" s="25" t="s">
        <v>271</v>
      </c>
      <c r="C102" s="39">
        <v>2</v>
      </c>
      <c r="D102" s="9">
        <v>41455</v>
      </c>
      <c r="E102" s="12" t="s">
        <v>101</v>
      </c>
      <c r="F102" s="10">
        <v>3894.8</v>
      </c>
      <c r="G102" s="10">
        <v>1971.74</v>
      </c>
      <c r="H102" s="10">
        <v>243425</v>
      </c>
      <c r="I102" s="34">
        <v>0.5</v>
      </c>
    </row>
    <row r="103" spans="1:13" s="7" customFormat="1">
      <c r="A103" s="15" t="s">
        <v>146</v>
      </c>
      <c r="B103" s="25" t="s">
        <v>85</v>
      </c>
      <c r="C103" s="42">
        <v>2003</v>
      </c>
      <c r="D103" s="9">
        <v>41431</v>
      </c>
      <c r="E103" s="12" t="s">
        <v>140</v>
      </c>
      <c r="F103" s="10">
        <v>4978.18</v>
      </c>
      <c r="G103" s="10">
        <v>0</v>
      </c>
      <c r="H103" s="10">
        <v>311136</v>
      </c>
      <c r="I103" s="62">
        <v>1</v>
      </c>
    </row>
    <row r="104" spans="1:13" s="7" customFormat="1">
      <c r="A104" s="15" t="s">
        <v>270</v>
      </c>
      <c r="B104" s="25" t="s">
        <v>273</v>
      </c>
      <c r="C104" s="42">
        <v>31</v>
      </c>
      <c r="D104" s="9">
        <v>41455</v>
      </c>
      <c r="E104" s="12" t="s">
        <v>198</v>
      </c>
      <c r="F104" s="10">
        <v>6180.17</v>
      </c>
      <c r="G104" s="10">
        <v>1969.93</v>
      </c>
      <c r="H104" s="10">
        <v>386260.76</v>
      </c>
      <c r="I104" s="62">
        <v>1</v>
      </c>
    </row>
    <row r="105" spans="1:13">
      <c r="A105" s="15" t="s">
        <v>270</v>
      </c>
      <c r="B105" s="25" t="s">
        <v>273</v>
      </c>
      <c r="C105" s="42">
        <v>68</v>
      </c>
      <c r="D105" s="9">
        <v>41452</v>
      </c>
      <c r="E105" s="12" t="s">
        <v>198</v>
      </c>
      <c r="F105" s="10">
        <v>5881.51</v>
      </c>
      <c r="G105" s="10">
        <v>2977.51</v>
      </c>
      <c r="H105" s="10">
        <v>367594.19</v>
      </c>
      <c r="I105" s="62">
        <v>1</v>
      </c>
      <c r="K105" s="7"/>
      <c r="L105" s="7"/>
      <c r="M105" s="7"/>
    </row>
    <row r="106" spans="1:13">
      <c r="A106" s="15" t="s">
        <v>270</v>
      </c>
      <c r="B106" s="25" t="s">
        <v>271</v>
      </c>
      <c r="C106" s="39">
        <v>31</v>
      </c>
      <c r="D106" s="12">
        <v>41451</v>
      </c>
      <c r="E106" s="12" t="s">
        <v>290</v>
      </c>
      <c r="F106" s="10">
        <v>6150.34</v>
      </c>
      <c r="G106" s="10">
        <v>3113.61</v>
      </c>
      <c r="H106" s="10">
        <v>384395.95</v>
      </c>
      <c r="I106" s="34">
        <v>1</v>
      </c>
      <c r="K106" s="7"/>
      <c r="L106" s="7"/>
      <c r="M106" s="7"/>
    </row>
    <row r="107" spans="1:13" s="7" customFormat="1">
      <c r="A107" s="15" t="s">
        <v>270</v>
      </c>
      <c r="B107" s="25" t="s">
        <v>271</v>
      </c>
      <c r="C107" s="39">
        <v>38</v>
      </c>
      <c r="D107" s="12">
        <v>41451</v>
      </c>
      <c r="E107" s="12" t="s">
        <v>290</v>
      </c>
      <c r="F107" s="10">
        <v>6150.34</v>
      </c>
      <c r="G107" s="10">
        <v>3113.61</v>
      </c>
      <c r="H107" s="10">
        <v>384395.95</v>
      </c>
      <c r="I107" s="34">
        <v>1</v>
      </c>
    </row>
    <row r="108" spans="1:13">
      <c r="A108" s="15" t="s">
        <v>270</v>
      </c>
      <c r="B108" s="25" t="s">
        <v>278</v>
      </c>
      <c r="C108" s="39">
        <v>41</v>
      </c>
      <c r="D108" s="12">
        <v>41451</v>
      </c>
      <c r="E108" s="12" t="s">
        <v>290</v>
      </c>
      <c r="F108" s="10">
        <v>10143.290000000001</v>
      </c>
      <c r="G108" s="10">
        <v>5020.93</v>
      </c>
      <c r="H108" s="10">
        <v>633955.6</v>
      </c>
      <c r="I108" s="34">
        <v>1</v>
      </c>
      <c r="K108" s="7"/>
      <c r="L108" s="7"/>
      <c r="M108" s="7"/>
    </row>
    <row r="109" spans="1:13">
      <c r="A109" s="15" t="s">
        <v>270</v>
      </c>
      <c r="B109" s="25" t="s">
        <v>271</v>
      </c>
      <c r="C109" s="39">
        <v>87</v>
      </c>
      <c r="D109" s="12">
        <v>41451</v>
      </c>
      <c r="E109" s="12" t="s">
        <v>290</v>
      </c>
      <c r="F109" s="10">
        <v>4193.8500000000004</v>
      </c>
      <c r="G109" s="10">
        <v>1592.35</v>
      </c>
      <c r="H109" s="10">
        <v>262115.65</v>
      </c>
      <c r="I109" s="34">
        <v>0.5</v>
      </c>
      <c r="K109" s="7"/>
      <c r="L109" s="7"/>
      <c r="M109" s="7"/>
    </row>
    <row r="110" spans="1:13">
      <c r="A110" s="15" t="s">
        <v>270</v>
      </c>
      <c r="B110" s="25" t="s">
        <v>271</v>
      </c>
      <c r="C110" s="42">
        <v>72</v>
      </c>
      <c r="D110" s="9">
        <v>41451</v>
      </c>
      <c r="E110" s="12" t="s">
        <v>284</v>
      </c>
      <c r="F110" s="10">
        <v>8197.26</v>
      </c>
      <c r="G110" s="10">
        <v>2612.88</v>
      </c>
      <c r="H110" s="10">
        <v>512328.88</v>
      </c>
      <c r="I110" s="62">
        <v>1</v>
      </c>
      <c r="K110" s="7"/>
      <c r="L110" s="7"/>
      <c r="M110" s="7"/>
    </row>
    <row r="111" spans="1:13">
      <c r="A111" s="15" t="s">
        <v>145</v>
      </c>
      <c r="B111" s="25" t="s">
        <v>82</v>
      </c>
      <c r="C111" s="39">
        <v>1604</v>
      </c>
      <c r="D111" s="9">
        <v>41446</v>
      </c>
      <c r="E111" s="12" t="s">
        <v>158</v>
      </c>
      <c r="F111" s="10">
        <v>8183.37</v>
      </c>
      <c r="G111" s="10">
        <v>5677.22</v>
      </c>
      <c r="H111" s="10">
        <v>511460.85</v>
      </c>
      <c r="I111" s="62">
        <v>1</v>
      </c>
      <c r="K111" s="7"/>
      <c r="L111" s="7"/>
      <c r="M111" s="7"/>
    </row>
    <row r="112" spans="1:13">
      <c r="A112" s="15" t="s">
        <v>270</v>
      </c>
      <c r="B112" s="25" t="s">
        <v>273</v>
      </c>
      <c r="C112" s="42">
        <v>26</v>
      </c>
      <c r="D112" s="9">
        <v>41451</v>
      </c>
      <c r="E112" s="12" t="s">
        <v>286</v>
      </c>
      <c r="F112" s="10">
        <v>3605</v>
      </c>
      <c r="G112" s="10">
        <v>1825.03</v>
      </c>
      <c r="H112" s="10">
        <v>225312.27</v>
      </c>
      <c r="I112" s="62">
        <v>0.5</v>
      </c>
      <c r="K112" s="7"/>
      <c r="L112" s="7"/>
      <c r="M112" s="7"/>
    </row>
    <row r="113" spans="1:13">
      <c r="A113" s="15" t="s">
        <v>270</v>
      </c>
      <c r="B113" s="25" t="s">
        <v>271</v>
      </c>
      <c r="C113" s="42">
        <v>25</v>
      </c>
      <c r="D113" s="9">
        <v>41455</v>
      </c>
      <c r="E113" s="42" t="s">
        <v>95</v>
      </c>
      <c r="F113" s="10">
        <v>5995.2</v>
      </c>
      <c r="G113" s="10">
        <v>3035.07</v>
      </c>
      <c r="H113" s="10">
        <v>374700</v>
      </c>
      <c r="I113" s="62">
        <v>1</v>
      </c>
      <c r="K113" s="7"/>
      <c r="L113" s="7"/>
      <c r="M113" s="7"/>
    </row>
    <row r="114" spans="1:13">
      <c r="A114" s="15" t="s">
        <v>208</v>
      </c>
      <c r="B114" s="25" t="s">
        <v>226</v>
      </c>
      <c r="C114" s="39">
        <v>163</v>
      </c>
      <c r="D114" s="9">
        <v>41448</v>
      </c>
      <c r="E114" s="12" t="s">
        <v>262</v>
      </c>
      <c r="F114" s="10">
        <v>4836.8</v>
      </c>
      <c r="G114" s="10">
        <v>0</v>
      </c>
      <c r="H114" s="10">
        <v>241840</v>
      </c>
      <c r="I114" s="62">
        <v>1</v>
      </c>
      <c r="K114" s="7"/>
      <c r="L114" s="7"/>
      <c r="M114" s="7"/>
    </row>
    <row r="115" spans="1:13">
      <c r="A115" s="15" t="s">
        <v>191</v>
      </c>
      <c r="B115" s="25" t="s">
        <v>117</v>
      </c>
      <c r="C115" s="39">
        <v>131</v>
      </c>
      <c r="D115" s="9">
        <v>41444</v>
      </c>
      <c r="E115" s="12" t="s">
        <v>34</v>
      </c>
      <c r="F115" s="10">
        <v>4560</v>
      </c>
      <c r="G115" s="10">
        <v>0</v>
      </c>
      <c r="H115" s="10">
        <v>228000</v>
      </c>
      <c r="I115" s="62">
        <v>1</v>
      </c>
      <c r="K115" s="7"/>
      <c r="L115" s="7"/>
      <c r="M115" s="7"/>
    </row>
    <row r="116" spans="1:13">
      <c r="A116" s="15" t="s">
        <v>269</v>
      </c>
      <c r="B116" s="25" t="s">
        <v>85</v>
      </c>
      <c r="C116" s="39">
        <v>131</v>
      </c>
      <c r="D116" s="12">
        <v>41452</v>
      </c>
      <c r="E116" s="12" t="s">
        <v>52</v>
      </c>
      <c r="F116" s="10">
        <f>H116*2%</f>
        <v>46000</v>
      </c>
      <c r="G116" s="10">
        <f>71530-F116</f>
        <v>25530</v>
      </c>
      <c r="H116" s="10">
        <v>2300000</v>
      </c>
      <c r="I116" s="34">
        <v>1</v>
      </c>
      <c r="K116" s="7"/>
      <c r="L116" s="7"/>
      <c r="M116" s="7"/>
    </row>
    <row r="117" spans="1:13">
      <c r="A117" s="15" t="s">
        <v>270</v>
      </c>
      <c r="B117" s="25" t="s">
        <v>273</v>
      </c>
      <c r="C117" s="42">
        <v>13</v>
      </c>
      <c r="D117" s="9">
        <v>41452</v>
      </c>
      <c r="E117" s="12" t="s">
        <v>298</v>
      </c>
      <c r="F117" s="10">
        <v>3566.63</v>
      </c>
      <c r="G117" s="10">
        <v>1354.21</v>
      </c>
      <c r="H117" s="10">
        <v>222914.63</v>
      </c>
      <c r="I117" s="62">
        <v>0.5</v>
      </c>
      <c r="K117" s="7"/>
      <c r="L117" s="7"/>
      <c r="M117" s="7"/>
    </row>
    <row r="118" spans="1:13">
      <c r="A118" s="15" t="s">
        <v>270</v>
      </c>
      <c r="B118" s="25" t="s">
        <v>271</v>
      </c>
      <c r="C118" s="39">
        <v>85</v>
      </c>
      <c r="D118" s="9">
        <v>41451</v>
      </c>
      <c r="E118" s="12" t="s">
        <v>84</v>
      </c>
      <c r="F118" s="10">
        <v>6382.71</v>
      </c>
      <c r="G118" s="10">
        <v>3231.25</v>
      </c>
      <c r="H118" s="10">
        <v>398919.4</v>
      </c>
      <c r="I118" s="62">
        <v>1</v>
      </c>
      <c r="K118" s="7"/>
      <c r="L118" s="7"/>
      <c r="M118" s="7"/>
    </row>
    <row r="119" spans="1:13">
      <c r="A119" s="15"/>
      <c r="B119" s="25"/>
      <c r="C119" s="42"/>
      <c r="D119" s="9"/>
      <c r="E119" s="12"/>
      <c r="F119" s="10"/>
      <c r="G119" s="10"/>
      <c r="H119" s="10"/>
      <c r="I119" s="62"/>
      <c r="K119" s="7"/>
      <c r="L119" s="7"/>
      <c r="M119" s="7"/>
    </row>
    <row r="120" spans="1:13">
      <c r="A120" s="86"/>
      <c r="B120" s="25"/>
      <c r="C120" s="39"/>
      <c r="D120" s="9"/>
      <c r="E120" s="12"/>
      <c r="F120" s="10"/>
      <c r="G120" s="10"/>
      <c r="H120" s="10"/>
      <c r="I120" s="62"/>
      <c r="K120" s="7"/>
      <c r="L120" s="7"/>
      <c r="M120" s="7"/>
    </row>
    <row r="121" spans="1:13">
      <c r="K121" s="7"/>
      <c r="L121" s="7"/>
      <c r="M121" s="7"/>
    </row>
    <row r="122" spans="1:13">
      <c r="K122" s="7"/>
      <c r="L122" s="7"/>
      <c r="M122" s="7"/>
    </row>
    <row r="123" spans="1:13">
      <c r="K123" s="7"/>
      <c r="L123" s="7"/>
      <c r="M123" s="7"/>
    </row>
    <row r="124" spans="1:13">
      <c r="K124" s="7"/>
      <c r="L124" s="7"/>
      <c r="M124" s="7"/>
    </row>
    <row r="125" spans="1:13">
      <c r="K125" s="7"/>
      <c r="L125" s="7"/>
      <c r="M125" s="7"/>
    </row>
    <row r="126" spans="1:13">
      <c r="K126" s="7"/>
      <c r="L126" s="7"/>
      <c r="M126" s="7"/>
    </row>
    <row r="127" spans="1:13">
      <c r="K127" s="7"/>
      <c r="L127" s="7"/>
      <c r="M127" s="7"/>
    </row>
    <row r="128" spans="1:13">
      <c r="K128" s="7"/>
      <c r="L128" s="7"/>
      <c r="M128" s="7"/>
    </row>
    <row r="129" spans="11:13">
      <c r="K129" s="7"/>
      <c r="L129" s="7"/>
      <c r="M129" s="7"/>
    </row>
    <row r="130" spans="11:13">
      <c r="K130" s="7"/>
      <c r="L130" s="7"/>
      <c r="M130" s="7"/>
    </row>
    <row r="151" spans="2:13" s="7" customFormat="1">
      <c r="B151"/>
      <c r="C151"/>
      <c r="D151"/>
      <c r="F151"/>
      <c r="H151"/>
      <c r="K151"/>
      <c r="L151"/>
      <c r="M151"/>
    </row>
    <row r="152" spans="2:13" s="7" customFormat="1">
      <c r="B152"/>
      <c r="C152"/>
      <c r="D152"/>
      <c r="F152"/>
      <c r="H152"/>
      <c r="K152"/>
      <c r="L152"/>
      <c r="M152"/>
    </row>
    <row r="153" spans="2:13" s="7" customFormat="1">
      <c r="B153"/>
      <c r="C153"/>
      <c r="D153"/>
      <c r="F153"/>
      <c r="H153"/>
      <c r="K153"/>
      <c r="L153"/>
      <c r="M153"/>
    </row>
    <row r="154" spans="2:13" s="7" customFormat="1">
      <c r="B154"/>
      <c r="C154"/>
      <c r="D154"/>
      <c r="F154"/>
      <c r="H154"/>
      <c r="K154"/>
      <c r="L154"/>
      <c r="M154"/>
    </row>
    <row r="155" spans="2:13" s="7" customFormat="1">
      <c r="B155"/>
      <c r="C155"/>
      <c r="D155"/>
      <c r="F155"/>
      <c r="H155"/>
      <c r="K155"/>
      <c r="L155"/>
      <c r="M155"/>
    </row>
    <row r="157" spans="2:13" s="7" customFormat="1">
      <c r="B157"/>
      <c r="C157"/>
      <c r="D157"/>
      <c r="F157"/>
      <c r="H157"/>
      <c r="K157"/>
      <c r="L157"/>
      <c r="M157"/>
    </row>
    <row r="158" spans="2:13" s="7" customFormat="1">
      <c r="B158"/>
      <c r="C158"/>
      <c r="D158"/>
      <c r="F158"/>
      <c r="H158"/>
      <c r="K158"/>
      <c r="L158"/>
      <c r="M158"/>
    </row>
    <row r="159" spans="2:13" s="7" customFormat="1">
      <c r="B159"/>
      <c r="C159"/>
      <c r="D159"/>
      <c r="F159"/>
      <c r="H159"/>
      <c r="K159"/>
      <c r="L159"/>
      <c r="M159"/>
    </row>
    <row r="160" spans="2:13" s="7" customFormat="1">
      <c r="B160"/>
      <c r="C160"/>
      <c r="D160"/>
      <c r="F160"/>
      <c r="H160"/>
      <c r="K160"/>
      <c r="L160"/>
      <c r="M160"/>
    </row>
    <row r="161" spans="2:13" s="7" customFormat="1">
      <c r="B161"/>
      <c r="C161"/>
      <c r="D161"/>
      <c r="F161"/>
      <c r="H161"/>
    </row>
    <row r="162" spans="2:13" s="7" customFormat="1">
      <c r="B162"/>
      <c r="C162"/>
      <c r="D162"/>
      <c r="F162"/>
      <c r="H162"/>
    </row>
    <row r="163" spans="2:13" s="7" customFormat="1">
      <c r="B163"/>
      <c r="C163"/>
      <c r="D163"/>
      <c r="F163"/>
      <c r="H163"/>
    </row>
    <row r="164" spans="2:13" s="7" customFormat="1">
      <c r="B164"/>
      <c r="C164"/>
      <c r="D164"/>
      <c r="F164"/>
      <c r="H164"/>
    </row>
    <row r="165" spans="2:13" s="7" customFormat="1">
      <c r="B165"/>
      <c r="C165"/>
      <c r="D165"/>
      <c r="F165"/>
      <c r="H165"/>
    </row>
    <row r="166" spans="2:13" s="7" customFormat="1">
      <c r="B166"/>
      <c r="C166"/>
      <c r="D166"/>
      <c r="F166"/>
      <c r="H166"/>
      <c r="K166"/>
      <c r="L166"/>
      <c r="M166"/>
    </row>
    <row r="168" spans="2:13">
      <c r="K168" s="7"/>
      <c r="L168" s="7"/>
      <c r="M168" s="7"/>
    </row>
    <row r="169" spans="2:13">
      <c r="K169" s="7"/>
      <c r="L169" s="7"/>
      <c r="M169" s="7"/>
    </row>
    <row r="170" spans="2:13" s="7" customFormat="1">
      <c r="B170"/>
      <c r="C170"/>
      <c r="D170"/>
      <c r="F170"/>
      <c r="H170"/>
    </row>
    <row r="171" spans="2:13">
      <c r="K171" s="7"/>
      <c r="L171" s="7"/>
      <c r="M171" s="7"/>
    </row>
    <row r="172" spans="2:13">
      <c r="K172" s="7"/>
      <c r="L172" s="7"/>
      <c r="M172" s="7"/>
    </row>
    <row r="173" spans="2:13">
      <c r="K173" s="7"/>
      <c r="L173" s="7"/>
      <c r="M173" s="7"/>
    </row>
    <row r="174" spans="2:13">
      <c r="K174" s="7"/>
      <c r="L174" s="7"/>
      <c r="M174" s="7"/>
    </row>
    <row r="175" spans="2:13">
      <c r="K175" s="7"/>
      <c r="L175" s="7"/>
      <c r="M175" s="7"/>
    </row>
    <row r="176" spans="2:13" s="7" customFormat="1">
      <c r="B176"/>
      <c r="C176"/>
      <c r="D176"/>
      <c r="F176"/>
      <c r="H176"/>
    </row>
    <row r="177" spans="2:13" s="7" customFormat="1">
      <c r="B177"/>
      <c r="C177"/>
      <c r="D177"/>
      <c r="F177"/>
      <c r="H177"/>
    </row>
    <row r="178" spans="2:13" s="7" customFormat="1">
      <c r="B178"/>
      <c r="C178"/>
      <c r="D178"/>
      <c r="F178"/>
      <c r="H178"/>
      <c r="K178"/>
      <c r="L178"/>
      <c r="M178"/>
    </row>
    <row r="179" spans="2:13" s="7" customFormat="1">
      <c r="B179"/>
      <c r="C179"/>
      <c r="D179"/>
      <c r="F179"/>
      <c r="H179"/>
    </row>
    <row r="180" spans="2:13" s="7" customFormat="1">
      <c r="B180"/>
      <c r="C180"/>
      <c r="D180"/>
      <c r="F180"/>
      <c r="H180"/>
    </row>
    <row r="181" spans="2:13" s="7" customFormat="1">
      <c r="B181"/>
      <c r="C181"/>
      <c r="D181"/>
      <c r="F181"/>
      <c r="H181"/>
    </row>
    <row r="182" spans="2:13" s="7" customFormat="1">
      <c r="B182"/>
      <c r="C182"/>
      <c r="D182"/>
      <c r="F182"/>
      <c r="H182"/>
    </row>
    <row r="183" spans="2:13" s="7" customFormat="1">
      <c r="B183"/>
      <c r="C183"/>
      <c r="D183"/>
      <c r="F183"/>
      <c r="H183"/>
    </row>
    <row r="184" spans="2:13" s="7" customFormat="1">
      <c r="B184"/>
      <c r="C184"/>
      <c r="D184"/>
      <c r="F184"/>
      <c r="H184"/>
    </row>
    <row r="185" spans="2:13" s="7" customFormat="1">
      <c r="B185"/>
      <c r="C185"/>
      <c r="D185"/>
      <c r="F185"/>
      <c r="H185"/>
    </row>
    <row r="186" spans="2:13" s="7" customFormat="1">
      <c r="B186"/>
      <c r="C186"/>
      <c r="D186"/>
      <c r="F186"/>
      <c r="H186"/>
    </row>
    <row r="187" spans="2:13" s="7" customFormat="1">
      <c r="B187"/>
      <c r="C187"/>
      <c r="D187"/>
      <c r="F187"/>
      <c r="H187"/>
    </row>
    <row r="194" spans="11:13">
      <c r="K194" s="7"/>
      <c r="L194" s="7"/>
      <c r="M194" s="7"/>
    </row>
  </sheetData>
  <autoFilter ref="K3:M3">
    <sortState ref="K4:M63">
      <sortCondition ref="K3"/>
    </sortState>
  </autoFilter>
  <sortState ref="K4:M58">
    <sortCondition ref="K3"/>
  </sortState>
  <mergeCells count="3">
    <mergeCell ref="K2:M2"/>
    <mergeCell ref="K86:M86"/>
    <mergeCell ref="K78:M78"/>
  </mergeCells>
  <pageMargins left="0.51181102362204722" right="0.51181102362204722" top="0.78740157480314965" bottom="0.78740157480314965" header="0.31496062992125984" footer="0.31496062992125984"/>
  <pageSetup paperSize="9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opLeftCell="A43" workbookViewId="0">
      <selection activeCell="E2" sqref="E2:E75"/>
    </sheetView>
  </sheetViews>
  <sheetFormatPr defaultRowHeight="14.4"/>
  <cols>
    <col min="1" max="1" width="25.33203125" bestFit="1" customWidth="1"/>
    <col min="2" max="2" width="11.33203125" bestFit="1" customWidth="1"/>
    <col min="4" max="4" width="9.6640625" bestFit="1" customWidth="1"/>
    <col min="5" max="5" width="33.88671875" bestFit="1" customWidth="1"/>
    <col min="6" max="6" width="10.5546875" bestFit="1" customWidth="1"/>
    <col min="7" max="7" width="13.33203125" bestFit="1" customWidth="1"/>
    <col min="8" max="8" width="14.33203125" bestFit="1" customWidth="1"/>
    <col min="11" max="11" width="11" bestFit="1" customWidth="1"/>
    <col min="13" max="13" width="14.33203125" bestFit="1" customWidth="1"/>
  </cols>
  <sheetData>
    <row r="1" spans="1:15" s="7" customFormat="1"/>
    <row r="2" spans="1:15">
      <c r="A2" s="15" t="s">
        <v>81</v>
      </c>
      <c r="B2" s="25" t="s">
        <v>82</v>
      </c>
      <c r="C2" s="39">
        <v>118</v>
      </c>
      <c r="D2" s="12">
        <v>41369</v>
      </c>
      <c r="E2" s="12" t="s">
        <v>123</v>
      </c>
      <c r="F2" s="10">
        <f>H2*2%</f>
        <v>8690</v>
      </c>
      <c r="G2" s="10"/>
      <c r="H2" s="10">
        <v>434500</v>
      </c>
      <c r="I2" s="34">
        <v>1</v>
      </c>
      <c r="K2" s="7"/>
    </row>
    <row r="3" spans="1:15">
      <c r="A3" s="15" t="s">
        <v>111</v>
      </c>
      <c r="B3" s="25" t="s">
        <v>119</v>
      </c>
      <c r="C3" s="39">
        <v>134</v>
      </c>
      <c r="D3" s="12">
        <v>41298</v>
      </c>
      <c r="E3" s="12" t="s">
        <v>123</v>
      </c>
      <c r="F3" s="10">
        <v>25880</v>
      </c>
      <c r="G3" s="10"/>
      <c r="H3" s="10">
        <v>870430.13</v>
      </c>
      <c r="I3" s="34">
        <v>1</v>
      </c>
      <c r="K3" s="11" t="s">
        <v>74</v>
      </c>
      <c r="L3" s="81">
        <f>SUM(I2:I28)</f>
        <v>24</v>
      </c>
      <c r="M3" s="82">
        <f>SUM(H2:H28)</f>
        <v>11033910.34</v>
      </c>
    </row>
    <row r="4" spans="1:15">
      <c r="A4" s="15" t="s">
        <v>54</v>
      </c>
      <c r="B4" s="25" t="s">
        <v>58</v>
      </c>
      <c r="C4" s="39">
        <v>202</v>
      </c>
      <c r="D4" s="12">
        <v>41373</v>
      </c>
      <c r="E4" s="12" t="s">
        <v>123</v>
      </c>
      <c r="F4" s="10">
        <f>H4*4%</f>
        <v>34800</v>
      </c>
      <c r="G4" s="10"/>
      <c r="H4" s="10">
        <v>870000</v>
      </c>
      <c r="I4" s="34">
        <v>1</v>
      </c>
      <c r="K4" s="11" t="s">
        <v>102</v>
      </c>
      <c r="L4" s="81">
        <f>SUM(I29:I39)</f>
        <v>11</v>
      </c>
      <c r="M4" s="82">
        <f>SUM(H29:H39)</f>
        <v>3642814.6700000004</v>
      </c>
    </row>
    <row r="5" spans="1:15">
      <c r="A5" s="79" t="s">
        <v>139</v>
      </c>
      <c r="B5" s="25" t="s">
        <v>165</v>
      </c>
      <c r="C5" s="39">
        <v>41</v>
      </c>
      <c r="D5" s="9">
        <v>41414</v>
      </c>
      <c r="E5" s="12" t="s">
        <v>123</v>
      </c>
      <c r="F5" s="10">
        <v>1260</v>
      </c>
      <c r="G5" s="10">
        <v>0</v>
      </c>
      <c r="H5" s="10">
        <v>210000</v>
      </c>
      <c r="I5" s="34">
        <v>1</v>
      </c>
      <c r="K5" s="11" t="s">
        <v>91</v>
      </c>
      <c r="L5" s="81">
        <f>SUM(I40:I88)</f>
        <v>34.5</v>
      </c>
      <c r="M5" s="82">
        <f>SUM(H40:H88)</f>
        <v>19432872.819999997</v>
      </c>
    </row>
    <row r="6" spans="1:15">
      <c r="A6" s="79" t="s">
        <v>124</v>
      </c>
      <c r="B6" s="25" t="s">
        <v>85</v>
      </c>
      <c r="C6" s="39">
        <v>106</v>
      </c>
      <c r="D6" s="9">
        <v>41343</v>
      </c>
      <c r="E6" s="12" t="s">
        <v>123</v>
      </c>
      <c r="F6" s="10">
        <v>9847.5</v>
      </c>
      <c r="G6" s="10"/>
      <c r="H6" s="10">
        <v>390000</v>
      </c>
      <c r="I6" s="34">
        <v>1</v>
      </c>
      <c r="K6" s="11"/>
      <c r="L6" s="81">
        <f>SUM(L3:L5)</f>
        <v>69.5</v>
      </c>
      <c r="M6" s="82">
        <f>SUM(M3:M5)</f>
        <v>34109597.829999998</v>
      </c>
    </row>
    <row r="7" spans="1:15">
      <c r="A7" s="15" t="s">
        <v>111</v>
      </c>
      <c r="B7" s="25" t="s">
        <v>112</v>
      </c>
      <c r="C7" s="39">
        <v>111</v>
      </c>
      <c r="D7" s="9">
        <v>41298</v>
      </c>
      <c r="E7" s="12" t="s">
        <v>123</v>
      </c>
      <c r="F7" s="10">
        <v>31600</v>
      </c>
      <c r="G7" s="10"/>
      <c r="H7" s="10">
        <v>790000</v>
      </c>
      <c r="I7" s="34">
        <v>1</v>
      </c>
    </row>
    <row r="8" spans="1:15">
      <c r="A8" s="15" t="s">
        <v>116</v>
      </c>
      <c r="B8" s="25" t="s">
        <v>117</v>
      </c>
      <c r="C8" s="39">
        <v>143</v>
      </c>
      <c r="D8" s="9">
        <v>41296</v>
      </c>
      <c r="E8" s="12" t="s">
        <v>123</v>
      </c>
      <c r="F8" s="10">
        <v>8429.44</v>
      </c>
      <c r="G8" s="10"/>
      <c r="H8" s="10">
        <v>210888.7</v>
      </c>
      <c r="I8" s="34">
        <v>1</v>
      </c>
      <c r="K8" s="103" t="s">
        <v>250</v>
      </c>
      <c r="L8" s="104"/>
      <c r="M8" s="104"/>
      <c r="N8" s="104"/>
      <c r="O8" s="104"/>
    </row>
    <row r="9" spans="1:15">
      <c r="A9" s="15" t="s">
        <v>124</v>
      </c>
      <c r="B9" s="25" t="s">
        <v>85</v>
      </c>
      <c r="C9" s="42">
        <v>312</v>
      </c>
      <c r="D9" s="9">
        <v>41343</v>
      </c>
      <c r="E9" s="12" t="s">
        <v>123</v>
      </c>
      <c r="F9" s="10">
        <v>5248.73</v>
      </c>
      <c r="G9" s="10"/>
      <c r="H9" s="10">
        <v>193680</v>
      </c>
      <c r="I9" s="62">
        <v>0.5</v>
      </c>
    </row>
    <row r="10" spans="1:15">
      <c r="A10" s="79" t="s">
        <v>124</v>
      </c>
      <c r="B10" s="25" t="s">
        <v>85</v>
      </c>
      <c r="C10" s="39">
        <v>510</v>
      </c>
      <c r="D10" s="9">
        <v>41343</v>
      </c>
      <c r="E10" s="12" t="s">
        <v>123</v>
      </c>
      <c r="F10" s="10">
        <f>H10*1.225%</f>
        <v>2653.6448575000004</v>
      </c>
      <c r="G10" s="10"/>
      <c r="H10" s="10">
        <v>216624.07</v>
      </c>
      <c r="I10" s="34">
        <v>0.5</v>
      </c>
    </row>
    <row r="11" spans="1:15">
      <c r="A11" s="79" t="s">
        <v>124</v>
      </c>
      <c r="B11" s="25" t="s">
        <v>85</v>
      </c>
      <c r="C11" s="39">
        <v>511</v>
      </c>
      <c r="D11" s="9">
        <v>41343</v>
      </c>
      <c r="E11" s="12" t="s">
        <v>123</v>
      </c>
      <c r="F11" s="10">
        <f>H11*1.225%</f>
        <v>2747.8637725000003</v>
      </c>
      <c r="G11" s="10"/>
      <c r="H11" s="10">
        <v>224315.41</v>
      </c>
      <c r="I11" s="34">
        <v>0.5</v>
      </c>
    </row>
    <row r="12" spans="1:15">
      <c r="A12" s="79" t="s">
        <v>124</v>
      </c>
      <c r="B12" s="25" t="s">
        <v>85</v>
      </c>
      <c r="C12" s="39">
        <v>512</v>
      </c>
      <c r="D12" s="9">
        <v>41343</v>
      </c>
      <c r="E12" s="12" t="s">
        <v>123</v>
      </c>
      <c r="F12" s="10">
        <f>H12*1.225%</f>
        <v>2693.6928025000002</v>
      </c>
      <c r="G12" s="10"/>
      <c r="H12" s="10">
        <v>219893.29</v>
      </c>
      <c r="I12" s="34">
        <v>0.5</v>
      </c>
    </row>
    <row r="13" spans="1:15">
      <c r="A13" s="79" t="s">
        <v>124</v>
      </c>
      <c r="B13" s="25" t="s">
        <v>85</v>
      </c>
      <c r="C13" s="39">
        <v>603</v>
      </c>
      <c r="D13" s="9">
        <v>41343</v>
      </c>
      <c r="E13" s="12" t="s">
        <v>123</v>
      </c>
      <c r="F13" s="10">
        <v>10924.07</v>
      </c>
      <c r="G13" s="10"/>
      <c r="H13" s="10">
        <v>403102.03</v>
      </c>
      <c r="I13" s="34">
        <v>1</v>
      </c>
    </row>
    <row r="14" spans="1:15" s="7" customFormat="1">
      <c r="A14" s="79" t="s">
        <v>122</v>
      </c>
      <c r="B14" s="25" t="s">
        <v>85</v>
      </c>
      <c r="C14" s="39">
        <v>808</v>
      </c>
      <c r="D14" s="9">
        <v>41361</v>
      </c>
      <c r="E14" s="12" t="s">
        <v>123</v>
      </c>
      <c r="F14" s="10">
        <f>H14*4%</f>
        <v>30000</v>
      </c>
      <c r="G14" s="10"/>
      <c r="H14" s="10">
        <v>750000</v>
      </c>
      <c r="I14" s="34">
        <v>1</v>
      </c>
    </row>
    <row r="15" spans="1:15" s="7" customFormat="1">
      <c r="A15" s="79" t="s">
        <v>139</v>
      </c>
      <c r="B15" s="25" t="s">
        <v>175</v>
      </c>
      <c r="C15" s="39">
        <v>21</v>
      </c>
      <c r="D15" s="9">
        <v>41421</v>
      </c>
      <c r="E15" s="12" t="s">
        <v>123</v>
      </c>
      <c r="F15" s="10">
        <v>1050</v>
      </c>
      <c r="G15" s="10">
        <v>0</v>
      </c>
      <c r="H15" s="10">
        <v>175000</v>
      </c>
      <c r="I15" s="34">
        <v>1</v>
      </c>
    </row>
    <row r="16" spans="1:15" s="7" customFormat="1">
      <c r="A16" s="79" t="s">
        <v>146</v>
      </c>
      <c r="B16" s="25" t="s">
        <v>85</v>
      </c>
      <c r="C16" s="39">
        <v>901</v>
      </c>
      <c r="D16" s="9">
        <v>41422</v>
      </c>
      <c r="E16" s="12" t="s">
        <v>123</v>
      </c>
      <c r="F16" s="10">
        <v>1320</v>
      </c>
      <c r="G16" s="10">
        <v>0</v>
      </c>
      <c r="H16" s="10">
        <v>330000</v>
      </c>
      <c r="I16" s="34">
        <v>1</v>
      </c>
    </row>
    <row r="17" spans="1:9" s="7" customFormat="1">
      <c r="A17" s="15" t="s">
        <v>116</v>
      </c>
      <c r="B17" s="25" t="s">
        <v>136</v>
      </c>
      <c r="C17" s="39">
        <v>135</v>
      </c>
      <c r="D17" s="9">
        <v>41436</v>
      </c>
      <c r="E17" s="12" t="s">
        <v>123</v>
      </c>
      <c r="F17" s="10">
        <v>1989.26</v>
      </c>
      <c r="G17" s="10">
        <v>0</v>
      </c>
      <c r="H17" s="10">
        <v>248657.21</v>
      </c>
      <c r="I17" s="34">
        <v>1</v>
      </c>
    </row>
    <row r="18" spans="1:9">
      <c r="A18" s="79" t="s">
        <v>146</v>
      </c>
      <c r="B18" s="25" t="s">
        <v>85</v>
      </c>
      <c r="C18" s="39">
        <v>1915</v>
      </c>
      <c r="D18" s="9">
        <v>41411</v>
      </c>
      <c r="E18" s="12" t="s">
        <v>123</v>
      </c>
      <c r="F18" s="10">
        <v>1539.07</v>
      </c>
      <c r="G18" s="10">
        <v>1779.55</v>
      </c>
      <c r="H18" s="10">
        <v>384767.22</v>
      </c>
      <c r="I18" s="34">
        <v>1</v>
      </c>
    </row>
    <row r="19" spans="1:9">
      <c r="A19" s="79" t="s">
        <v>138</v>
      </c>
      <c r="B19" s="25" t="s">
        <v>249</v>
      </c>
      <c r="C19" s="39">
        <v>75</v>
      </c>
      <c r="D19" s="9">
        <v>41442</v>
      </c>
      <c r="E19" s="12" t="s">
        <v>123</v>
      </c>
      <c r="F19" s="10">
        <v>1111.6600000000001</v>
      </c>
      <c r="G19" s="10">
        <v>0</v>
      </c>
      <c r="H19" s="10">
        <v>185276</v>
      </c>
      <c r="I19" s="34">
        <v>1</v>
      </c>
    </row>
    <row r="20" spans="1:9">
      <c r="A20" s="15" t="s">
        <v>139</v>
      </c>
      <c r="B20" s="25" t="s">
        <v>165</v>
      </c>
      <c r="C20" s="39">
        <v>25</v>
      </c>
      <c r="D20" s="9">
        <v>41413</v>
      </c>
      <c r="E20" s="12" t="s">
        <v>123</v>
      </c>
      <c r="F20" s="10">
        <v>630</v>
      </c>
      <c r="G20" s="10">
        <v>0</v>
      </c>
      <c r="H20" s="10">
        <v>105000</v>
      </c>
      <c r="I20" s="62">
        <v>0.5</v>
      </c>
    </row>
    <row r="21" spans="1:9">
      <c r="A21" s="15" t="s">
        <v>270</v>
      </c>
      <c r="B21" s="25" t="s">
        <v>271</v>
      </c>
      <c r="C21" s="39">
        <v>87</v>
      </c>
      <c r="D21" s="12">
        <v>41451</v>
      </c>
      <c r="E21" s="12" t="s">
        <v>123</v>
      </c>
      <c r="F21" s="10">
        <v>1048.46</v>
      </c>
      <c r="G21" s="10">
        <v>1061.57</v>
      </c>
      <c r="H21" s="10">
        <v>262115.65</v>
      </c>
      <c r="I21" s="34">
        <v>0.5</v>
      </c>
    </row>
    <row r="22" spans="1:9" s="7" customFormat="1">
      <c r="A22" s="15" t="s">
        <v>270</v>
      </c>
      <c r="B22" s="25" t="s">
        <v>271</v>
      </c>
      <c r="C22" s="39">
        <v>84</v>
      </c>
      <c r="D22" s="9">
        <v>41455</v>
      </c>
      <c r="E22" s="12" t="s">
        <v>123</v>
      </c>
      <c r="F22" s="10">
        <v>1610</v>
      </c>
      <c r="G22" s="10">
        <v>1358.44</v>
      </c>
      <c r="H22" s="10">
        <v>402500</v>
      </c>
      <c r="I22" s="34">
        <v>1</v>
      </c>
    </row>
    <row r="23" spans="1:9" s="7" customFormat="1">
      <c r="A23" s="15" t="s">
        <v>270</v>
      </c>
      <c r="B23" s="25" t="s">
        <v>271</v>
      </c>
      <c r="C23" s="39">
        <v>65</v>
      </c>
      <c r="D23" s="9">
        <v>41451</v>
      </c>
      <c r="E23" s="12" t="s">
        <v>123</v>
      </c>
      <c r="F23" s="10">
        <v>1606.85</v>
      </c>
      <c r="G23" s="10">
        <v>1355.78</v>
      </c>
      <c r="H23" s="10">
        <v>401713.27</v>
      </c>
      <c r="I23" s="34">
        <v>1</v>
      </c>
    </row>
    <row r="24" spans="1:9">
      <c r="A24" s="15" t="s">
        <v>270</v>
      </c>
      <c r="B24" s="25" t="s">
        <v>273</v>
      </c>
      <c r="C24" s="39">
        <v>57</v>
      </c>
      <c r="D24" s="12">
        <v>41450</v>
      </c>
      <c r="E24" s="12" t="s">
        <v>123</v>
      </c>
      <c r="F24" s="10">
        <v>2002.11</v>
      </c>
      <c r="G24" s="10">
        <v>1689.28</v>
      </c>
      <c r="H24" s="10">
        <v>500528.43</v>
      </c>
      <c r="I24" s="34">
        <v>1</v>
      </c>
    </row>
    <row r="25" spans="1:9">
      <c r="A25" s="15" t="s">
        <v>270</v>
      </c>
      <c r="B25" s="25" t="s">
        <v>271</v>
      </c>
      <c r="C25" s="39">
        <v>54</v>
      </c>
      <c r="D25" s="9">
        <v>41452</v>
      </c>
      <c r="E25" s="12" t="s">
        <v>123</v>
      </c>
      <c r="F25" s="10">
        <v>1574.51</v>
      </c>
      <c r="G25" s="10">
        <v>1328.49</v>
      </c>
      <c r="H25" s="10">
        <v>393628.07</v>
      </c>
      <c r="I25" s="62">
        <v>1</v>
      </c>
    </row>
    <row r="26" spans="1:9" s="7" customFormat="1">
      <c r="A26" s="15" t="s">
        <v>270</v>
      </c>
      <c r="B26" s="25" t="s">
        <v>273</v>
      </c>
      <c r="C26" s="39">
        <v>46</v>
      </c>
      <c r="D26" s="9">
        <v>41450</v>
      </c>
      <c r="E26" s="12" t="s">
        <v>123</v>
      </c>
      <c r="F26" s="10">
        <v>1945.89</v>
      </c>
      <c r="G26" s="10">
        <v>1641.84</v>
      </c>
      <c r="H26" s="10">
        <v>486471.79</v>
      </c>
      <c r="I26" s="34">
        <v>1</v>
      </c>
    </row>
    <row r="27" spans="1:9">
      <c r="A27" s="79" t="s">
        <v>246</v>
      </c>
      <c r="B27" s="25"/>
      <c r="C27" s="39"/>
      <c r="D27" s="9"/>
      <c r="E27" s="12" t="s">
        <v>123</v>
      </c>
      <c r="F27" s="10">
        <f>H27*0.8%</f>
        <v>7360.0087199999998</v>
      </c>
      <c r="G27" s="10">
        <f>9660.01-F27</f>
        <v>2300.0012800000004</v>
      </c>
      <c r="H27" s="10">
        <v>920001.09</v>
      </c>
      <c r="I27" s="34">
        <v>1</v>
      </c>
    </row>
    <row r="28" spans="1:9">
      <c r="A28" s="79" t="s">
        <v>146</v>
      </c>
      <c r="B28" s="25" t="s">
        <v>85</v>
      </c>
      <c r="C28" s="39">
        <v>308</v>
      </c>
      <c r="D28" s="9">
        <v>41408</v>
      </c>
      <c r="E28" s="12" t="s">
        <v>123</v>
      </c>
      <c r="F28" s="10">
        <v>1819.27</v>
      </c>
      <c r="G28" s="10">
        <v>2103.5300000000002</v>
      </c>
      <c r="H28" s="10">
        <v>454817.98</v>
      </c>
      <c r="I28" s="34">
        <v>1</v>
      </c>
    </row>
    <row r="29" spans="1:9" s="7" customFormat="1">
      <c r="A29" s="15" t="s">
        <v>114</v>
      </c>
      <c r="B29" s="25" t="s">
        <v>118</v>
      </c>
      <c r="C29" s="39">
        <v>27</v>
      </c>
      <c r="D29" s="9">
        <v>41298</v>
      </c>
      <c r="E29" s="12" t="s">
        <v>125</v>
      </c>
      <c r="F29" s="10">
        <v>6188</v>
      </c>
      <c r="G29" s="10"/>
      <c r="H29" s="10">
        <v>182000</v>
      </c>
      <c r="I29" s="34">
        <v>1</v>
      </c>
    </row>
    <row r="30" spans="1:9" s="7" customFormat="1">
      <c r="A30" s="79" t="s">
        <v>138</v>
      </c>
      <c r="B30" s="25" t="s">
        <v>164</v>
      </c>
      <c r="C30" s="39">
        <v>36</v>
      </c>
      <c r="D30" s="9">
        <v>41418</v>
      </c>
      <c r="E30" s="12" t="s">
        <v>125</v>
      </c>
      <c r="F30" s="10">
        <v>1110</v>
      </c>
      <c r="G30" s="10">
        <v>0</v>
      </c>
      <c r="H30" s="10">
        <v>185000</v>
      </c>
      <c r="I30" s="34">
        <v>1</v>
      </c>
    </row>
    <row r="31" spans="1:9" s="7" customFormat="1">
      <c r="A31" s="15" t="s">
        <v>53</v>
      </c>
      <c r="B31" s="25" t="s">
        <v>113</v>
      </c>
      <c r="C31" s="39">
        <v>51</v>
      </c>
      <c r="D31" s="12">
        <v>41302</v>
      </c>
      <c r="E31" s="12" t="s">
        <v>125</v>
      </c>
      <c r="F31" s="10">
        <v>7642.4</v>
      </c>
      <c r="G31" s="10"/>
      <c r="H31" s="10">
        <v>477650.03</v>
      </c>
      <c r="I31" s="34">
        <v>1</v>
      </c>
    </row>
    <row r="32" spans="1:9" s="7" customFormat="1">
      <c r="A32" s="15" t="s">
        <v>115</v>
      </c>
      <c r="B32" s="25" t="s">
        <v>113</v>
      </c>
      <c r="C32" s="39">
        <v>176</v>
      </c>
      <c r="D32" s="9">
        <v>41304</v>
      </c>
      <c r="E32" s="12" t="s">
        <v>125</v>
      </c>
      <c r="F32" s="10">
        <v>14400</v>
      </c>
      <c r="G32" s="10"/>
      <c r="H32" s="10">
        <v>360000</v>
      </c>
      <c r="I32" s="34">
        <v>1</v>
      </c>
    </row>
    <row r="33" spans="1:9">
      <c r="A33" s="79" t="s">
        <v>146</v>
      </c>
      <c r="B33" s="25" t="s">
        <v>85</v>
      </c>
      <c r="C33" s="39">
        <v>307</v>
      </c>
      <c r="D33" s="9">
        <v>41418</v>
      </c>
      <c r="E33" s="12" t="s">
        <v>125</v>
      </c>
      <c r="F33" s="10">
        <v>0</v>
      </c>
      <c r="G33" s="10"/>
      <c r="H33" s="10">
        <v>331300</v>
      </c>
      <c r="I33" s="34">
        <v>1</v>
      </c>
    </row>
    <row r="34" spans="1:9">
      <c r="A34" s="79" t="s">
        <v>146</v>
      </c>
      <c r="B34" s="25" t="s">
        <v>85</v>
      </c>
      <c r="C34" s="39">
        <v>401</v>
      </c>
      <c r="D34" s="9">
        <v>41413</v>
      </c>
      <c r="E34" s="12" t="s">
        <v>125</v>
      </c>
      <c r="F34" s="10">
        <v>1448.52</v>
      </c>
      <c r="G34" s="10">
        <v>1674.85</v>
      </c>
      <c r="H34" s="10">
        <v>362130.59</v>
      </c>
      <c r="I34" s="34">
        <v>1</v>
      </c>
    </row>
    <row r="35" spans="1:9">
      <c r="A35" s="79" t="s">
        <v>124</v>
      </c>
      <c r="B35" s="25" t="s">
        <v>85</v>
      </c>
      <c r="C35" s="39">
        <v>602</v>
      </c>
      <c r="D35" s="9">
        <v>41343</v>
      </c>
      <c r="E35" s="12" t="s">
        <v>125</v>
      </c>
      <c r="F35" s="10">
        <v>10027</v>
      </c>
      <c r="G35" s="10"/>
      <c r="H35" s="10">
        <v>370000</v>
      </c>
      <c r="I35" s="34">
        <v>1</v>
      </c>
    </row>
    <row r="36" spans="1:9">
      <c r="A36" s="79" t="s">
        <v>146</v>
      </c>
      <c r="B36" s="25" t="s">
        <v>85</v>
      </c>
      <c r="C36" s="39">
        <v>911</v>
      </c>
      <c r="D36" s="9">
        <v>41420</v>
      </c>
      <c r="E36" s="12" t="s">
        <v>125</v>
      </c>
      <c r="F36" s="10">
        <v>1528.66</v>
      </c>
      <c r="G36" s="10">
        <v>1767.51</v>
      </c>
      <c r="H36" s="10">
        <v>382164</v>
      </c>
      <c r="I36" s="34">
        <v>1</v>
      </c>
    </row>
    <row r="37" spans="1:9">
      <c r="A37" s="79" t="s">
        <v>146</v>
      </c>
      <c r="B37" s="25" t="s">
        <v>85</v>
      </c>
      <c r="C37" s="39">
        <v>1415</v>
      </c>
      <c r="D37" s="9">
        <v>41423</v>
      </c>
      <c r="E37" s="12" t="s">
        <v>125</v>
      </c>
      <c r="F37" s="10">
        <v>1579.03</v>
      </c>
      <c r="G37" s="10">
        <v>1825.75</v>
      </c>
      <c r="H37" s="10">
        <v>394756.6</v>
      </c>
      <c r="I37" s="34">
        <v>1</v>
      </c>
    </row>
    <row r="38" spans="1:9">
      <c r="A38" s="15" t="s">
        <v>138</v>
      </c>
      <c r="B38" s="25" t="s">
        <v>300</v>
      </c>
      <c r="C38" s="39">
        <v>35</v>
      </c>
      <c r="D38" s="9">
        <v>41453</v>
      </c>
      <c r="E38" s="12" t="s">
        <v>125</v>
      </c>
      <c r="F38" s="10">
        <v>1334</v>
      </c>
      <c r="G38" s="10">
        <v>0</v>
      </c>
      <c r="H38" s="10">
        <v>222333.29</v>
      </c>
      <c r="I38" s="34">
        <v>1</v>
      </c>
    </row>
    <row r="39" spans="1:9">
      <c r="A39" s="79" t="s">
        <v>146</v>
      </c>
      <c r="B39" s="25" t="s">
        <v>85</v>
      </c>
      <c r="C39" s="39">
        <v>1914</v>
      </c>
      <c r="D39" s="9">
        <v>41415</v>
      </c>
      <c r="E39" s="12" t="s">
        <v>125</v>
      </c>
      <c r="F39" s="10">
        <v>0</v>
      </c>
      <c r="G39" s="10">
        <v>0</v>
      </c>
      <c r="H39" s="10">
        <v>375480.16</v>
      </c>
      <c r="I39" s="34">
        <v>1</v>
      </c>
    </row>
    <row r="40" spans="1:9">
      <c r="A40" s="79" t="s">
        <v>126</v>
      </c>
      <c r="B40" s="25" t="s">
        <v>85</v>
      </c>
      <c r="C40" s="39">
        <v>43</v>
      </c>
      <c r="D40" s="9">
        <v>41340</v>
      </c>
      <c r="E40" s="12" t="s">
        <v>127</v>
      </c>
      <c r="F40" s="10">
        <f>H40*2.5%</f>
        <v>10275</v>
      </c>
      <c r="G40" s="10"/>
      <c r="H40" s="10">
        <v>411000</v>
      </c>
      <c r="I40" s="34">
        <v>1</v>
      </c>
    </row>
    <row r="41" spans="1:9">
      <c r="A41" s="77" t="s">
        <v>111</v>
      </c>
      <c r="B41" s="78" t="s">
        <v>121</v>
      </c>
      <c r="C41" s="39">
        <v>44</v>
      </c>
      <c r="D41" s="12">
        <v>41333</v>
      </c>
      <c r="E41" s="12" t="s">
        <v>127</v>
      </c>
      <c r="F41" s="10">
        <f>H41*4%</f>
        <v>32000</v>
      </c>
      <c r="G41" s="10">
        <v>0</v>
      </c>
      <c r="H41" s="10">
        <v>800000</v>
      </c>
      <c r="I41" s="34">
        <v>1</v>
      </c>
    </row>
    <row r="42" spans="1:9">
      <c r="A42" s="15" t="s">
        <v>114</v>
      </c>
      <c r="B42" s="25" t="s">
        <v>118</v>
      </c>
      <c r="C42" s="42">
        <v>45</v>
      </c>
      <c r="D42" s="9">
        <v>41295</v>
      </c>
      <c r="E42" s="12" t="s">
        <v>127</v>
      </c>
      <c r="F42" s="93">
        <v>7990</v>
      </c>
      <c r="G42" s="10"/>
      <c r="H42" s="10">
        <v>235000</v>
      </c>
      <c r="I42" s="34">
        <v>1</v>
      </c>
    </row>
    <row r="43" spans="1:9">
      <c r="A43" s="79" t="s">
        <v>124</v>
      </c>
      <c r="B43" s="25" t="s">
        <v>85</v>
      </c>
      <c r="C43" s="39">
        <v>109</v>
      </c>
      <c r="D43" s="9">
        <v>41343</v>
      </c>
      <c r="E43" s="12" t="s">
        <v>127</v>
      </c>
      <c r="F43" s="10">
        <v>10813.77</v>
      </c>
      <c r="G43" s="10"/>
      <c r="H43" s="10">
        <v>428268.1</v>
      </c>
      <c r="I43" s="34">
        <v>1</v>
      </c>
    </row>
    <row r="44" spans="1:9">
      <c r="A44" s="15" t="s">
        <v>114</v>
      </c>
      <c r="B44" s="25" t="s">
        <v>137</v>
      </c>
      <c r="C44" s="42">
        <v>171</v>
      </c>
      <c r="D44" s="9">
        <v>41394</v>
      </c>
      <c r="E44" s="12" t="s">
        <v>127</v>
      </c>
      <c r="F44" s="94">
        <v>2400</v>
      </c>
      <c r="G44" s="10">
        <v>0</v>
      </c>
      <c r="H44" s="10">
        <v>400000</v>
      </c>
      <c r="I44" s="34">
        <v>1</v>
      </c>
    </row>
    <row r="45" spans="1:9">
      <c r="A45" s="15" t="s">
        <v>57</v>
      </c>
      <c r="B45" s="25" t="s">
        <v>88</v>
      </c>
      <c r="C45" s="39">
        <v>172</v>
      </c>
      <c r="D45" s="12">
        <v>41330</v>
      </c>
      <c r="E45" s="12" t="s">
        <v>127</v>
      </c>
      <c r="F45" s="10">
        <f>H45*4%</f>
        <v>10980</v>
      </c>
      <c r="G45" s="10">
        <f>11254.5-F45</f>
        <v>274.5</v>
      </c>
      <c r="H45" s="10">
        <v>274500</v>
      </c>
      <c r="I45" s="34">
        <v>1</v>
      </c>
    </row>
    <row r="46" spans="1:9">
      <c r="A46" s="15" t="s">
        <v>120</v>
      </c>
      <c r="B46" s="25" t="s">
        <v>113</v>
      </c>
      <c r="C46" s="42">
        <v>176</v>
      </c>
      <c r="D46" s="9">
        <v>41332</v>
      </c>
      <c r="E46" s="12" t="s">
        <v>127</v>
      </c>
      <c r="F46" s="10">
        <f>H46*1.6%</f>
        <v>14074.053599999999</v>
      </c>
      <c r="G46" s="10">
        <f>22430.52-F46</f>
        <v>8356.4664000000012</v>
      </c>
      <c r="H46" s="10">
        <v>879628.35</v>
      </c>
      <c r="I46" s="34">
        <v>1</v>
      </c>
    </row>
    <row r="47" spans="1:9">
      <c r="A47" s="79" t="s">
        <v>124</v>
      </c>
      <c r="B47" s="25" t="s">
        <v>85</v>
      </c>
      <c r="C47" s="39">
        <v>401</v>
      </c>
      <c r="D47" s="9">
        <v>41343</v>
      </c>
      <c r="E47" s="12" t="s">
        <v>127</v>
      </c>
      <c r="F47" s="10">
        <v>8272.4699999999993</v>
      </c>
      <c r="G47" s="10"/>
      <c r="H47" s="10">
        <v>408516.96</v>
      </c>
      <c r="I47" s="34">
        <v>1</v>
      </c>
    </row>
    <row r="48" spans="1:9" s="7" customFormat="1">
      <c r="A48" s="79" t="s">
        <v>124</v>
      </c>
      <c r="B48" s="25" t="s">
        <v>85</v>
      </c>
      <c r="C48" s="39">
        <v>402</v>
      </c>
      <c r="D48" s="9">
        <v>41343</v>
      </c>
      <c r="E48" s="12" t="s">
        <v>127</v>
      </c>
      <c r="F48" s="10">
        <v>8427.7199999999993</v>
      </c>
      <c r="G48" s="10"/>
      <c r="H48" s="10">
        <v>416183.53</v>
      </c>
      <c r="I48" s="34">
        <v>1</v>
      </c>
    </row>
    <row r="49" spans="1:9" s="7" customFormat="1">
      <c r="A49" s="79" t="s">
        <v>124</v>
      </c>
      <c r="B49" s="25" t="s">
        <v>85</v>
      </c>
      <c r="C49" s="39">
        <v>403</v>
      </c>
      <c r="D49" s="9">
        <v>41343</v>
      </c>
      <c r="E49" s="12" t="s">
        <v>127</v>
      </c>
      <c r="F49" s="10">
        <v>8161.58</v>
      </c>
      <c r="G49" s="10"/>
      <c r="H49" s="10">
        <v>403041</v>
      </c>
      <c r="I49" s="34">
        <v>1</v>
      </c>
    </row>
    <row r="50" spans="1:9" s="7" customFormat="1">
      <c r="A50" s="79" t="s">
        <v>124</v>
      </c>
      <c r="B50" s="25" t="s">
        <v>85</v>
      </c>
      <c r="C50" s="39">
        <v>404</v>
      </c>
      <c r="D50" s="9">
        <v>41344</v>
      </c>
      <c r="E50" s="12" t="s">
        <v>127</v>
      </c>
      <c r="F50" s="10">
        <v>8107.66</v>
      </c>
      <c r="G50" s="10"/>
      <c r="H50" s="10">
        <v>400378.48</v>
      </c>
      <c r="I50" s="34">
        <v>1</v>
      </c>
    </row>
    <row r="51" spans="1:9" s="7" customFormat="1">
      <c r="A51" s="79" t="s">
        <v>124</v>
      </c>
      <c r="B51" s="25" t="s">
        <v>85</v>
      </c>
      <c r="C51" s="39">
        <v>405</v>
      </c>
      <c r="D51" s="9">
        <v>41344</v>
      </c>
      <c r="E51" s="12" t="s">
        <v>127</v>
      </c>
      <c r="F51" s="10">
        <v>8373.9599999999991</v>
      </c>
      <c r="G51" s="10"/>
      <c r="H51" s="10">
        <v>413528.75</v>
      </c>
      <c r="I51" s="34">
        <v>1</v>
      </c>
    </row>
    <row r="52" spans="1:9" s="7" customFormat="1">
      <c r="A52" s="79" t="s">
        <v>124</v>
      </c>
      <c r="B52" s="25" t="s">
        <v>85</v>
      </c>
      <c r="C52" s="39">
        <v>406</v>
      </c>
      <c r="D52" s="9">
        <v>41344</v>
      </c>
      <c r="E52" s="12" t="s">
        <v>127</v>
      </c>
      <c r="F52" s="10">
        <v>8218.36</v>
      </c>
      <c r="G52" s="10"/>
      <c r="H52" s="10">
        <v>405845.16</v>
      </c>
      <c r="I52" s="34">
        <v>1</v>
      </c>
    </row>
    <row r="53" spans="1:9" s="7" customFormat="1">
      <c r="A53" s="79" t="s">
        <v>124</v>
      </c>
      <c r="B53" s="25" t="s">
        <v>85</v>
      </c>
      <c r="C53" s="39">
        <v>407</v>
      </c>
      <c r="D53" s="9">
        <v>41344</v>
      </c>
      <c r="E53" s="12" t="s">
        <v>127</v>
      </c>
      <c r="F53" s="10">
        <v>8272.4699999999993</v>
      </c>
      <c r="G53" s="10"/>
      <c r="H53" s="10">
        <v>408516.96</v>
      </c>
      <c r="I53" s="34">
        <v>1</v>
      </c>
    </row>
    <row r="54" spans="1:9" s="7" customFormat="1">
      <c r="A54" s="79" t="s">
        <v>124</v>
      </c>
      <c r="B54" s="25" t="s">
        <v>85</v>
      </c>
      <c r="C54" s="39">
        <v>601</v>
      </c>
      <c r="D54" s="9">
        <v>41343</v>
      </c>
      <c r="E54" s="12" t="s">
        <v>127</v>
      </c>
      <c r="F54" s="10">
        <v>10027</v>
      </c>
      <c r="G54" s="10"/>
      <c r="H54" s="10">
        <v>370000</v>
      </c>
      <c r="I54" s="34">
        <v>1</v>
      </c>
    </row>
    <row r="55" spans="1:9">
      <c r="A55" s="79" t="s">
        <v>124</v>
      </c>
      <c r="B55" s="25" t="s">
        <v>85</v>
      </c>
      <c r="C55" s="39">
        <v>1401</v>
      </c>
      <c r="D55" s="9">
        <v>41344</v>
      </c>
      <c r="E55" s="12" t="s">
        <v>127</v>
      </c>
      <c r="F55" s="10">
        <v>11528.45</v>
      </c>
      <c r="G55" s="10"/>
      <c r="H55" s="10">
        <v>456572.4</v>
      </c>
      <c r="I55" s="34">
        <v>1</v>
      </c>
    </row>
    <row r="56" spans="1:9">
      <c r="A56" s="79" t="s">
        <v>124</v>
      </c>
      <c r="B56" s="25" t="s">
        <v>85</v>
      </c>
      <c r="C56" s="39">
        <v>1402</v>
      </c>
      <c r="D56" s="9">
        <v>41344</v>
      </c>
      <c r="E56" s="12" t="s">
        <v>127</v>
      </c>
      <c r="F56" s="10">
        <v>11752.51</v>
      </c>
      <c r="G56" s="10"/>
      <c r="H56" s="10">
        <v>465445.9</v>
      </c>
      <c r="I56" s="34">
        <v>1</v>
      </c>
    </row>
    <row r="57" spans="1:9">
      <c r="A57" s="79" t="s">
        <v>124</v>
      </c>
      <c r="B57" s="25" t="s">
        <v>85</v>
      </c>
      <c r="C57" s="39">
        <v>1403</v>
      </c>
      <c r="D57" s="9">
        <v>41344</v>
      </c>
      <c r="E57" s="12" t="s">
        <v>127</v>
      </c>
      <c r="F57" s="10">
        <v>11368.04</v>
      </c>
      <c r="G57" s="10"/>
      <c r="H57" s="10">
        <v>450219.3</v>
      </c>
      <c r="I57" s="34">
        <v>1</v>
      </c>
    </row>
    <row r="58" spans="1:9">
      <c r="A58" s="79" t="s">
        <v>124</v>
      </c>
      <c r="B58" s="25" t="s">
        <v>85</v>
      </c>
      <c r="C58" s="39">
        <v>1404</v>
      </c>
      <c r="D58" s="9">
        <v>41344</v>
      </c>
      <c r="E58" s="12" t="s">
        <v>127</v>
      </c>
      <c r="F58" s="10">
        <v>11368.04</v>
      </c>
      <c r="G58" s="10"/>
      <c r="H58" s="10">
        <v>450219.3</v>
      </c>
      <c r="I58" s="34">
        <v>1</v>
      </c>
    </row>
    <row r="59" spans="1:9">
      <c r="A59" s="79" t="s">
        <v>124</v>
      </c>
      <c r="B59" s="25" t="s">
        <v>85</v>
      </c>
      <c r="C59" s="39">
        <v>1412</v>
      </c>
      <c r="D59" s="9">
        <v>41344</v>
      </c>
      <c r="E59" s="12" t="s">
        <v>127</v>
      </c>
      <c r="F59" s="10">
        <v>11528.45</v>
      </c>
      <c r="G59" s="10"/>
      <c r="H59" s="10">
        <v>456572.4</v>
      </c>
      <c r="I59" s="34">
        <v>1</v>
      </c>
    </row>
    <row r="60" spans="1:9">
      <c r="A60" s="15" t="s">
        <v>89</v>
      </c>
      <c r="B60" s="25" t="s">
        <v>82</v>
      </c>
      <c r="C60" s="42">
        <v>22</v>
      </c>
      <c r="D60" s="9">
        <v>41380</v>
      </c>
      <c r="E60" s="12" t="s">
        <v>90</v>
      </c>
      <c r="F60" s="10">
        <f>H60*4%</f>
        <v>80000</v>
      </c>
      <c r="G60" s="10"/>
      <c r="H60" s="10">
        <v>2000000</v>
      </c>
      <c r="I60" s="62">
        <v>1</v>
      </c>
    </row>
    <row r="61" spans="1:9" s="7" customFormat="1">
      <c r="A61" s="15" t="s">
        <v>139</v>
      </c>
      <c r="B61" s="25" t="s">
        <v>165</v>
      </c>
      <c r="C61" s="39">
        <v>25</v>
      </c>
      <c r="D61" s="9">
        <v>41413</v>
      </c>
      <c r="E61" s="12" t="s">
        <v>90</v>
      </c>
      <c r="F61" s="10">
        <v>630</v>
      </c>
      <c r="G61" s="10">
        <v>0</v>
      </c>
      <c r="H61" s="10">
        <v>105000</v>
      </c>
      <c r="I61" s="62">
        <v>0.5</v>
      </c>
    </row>
    <row r="62" spans="1:9" s="7" customFormat="1">
      <c r="A62" s="15" t="s">
        <v>89</v>
      </c>
      <c r="B62" s="25" t="s">
        <v>82</v>
      </c>
      <c r="C62" s="42">
        <v>71</v>
      </c>
      <c r="D62" s="9">
        <v>41394</v>
      </c>
      <c r="E62" s="12" t="s">
        <v>90</v>
      </c>
      <c r="F62" s="10">
        <v>16800</v>
      </c>
      <c r="G62" s="10"/>
      <c r="H62" s="10">
        <v>2100000</v>
      </c>
      <c r="I62" s="62">
        <v>1</v>
      </c>
    </row>
    <row r="63" spans="1:9" s="7" customFormat="1">
      <c r="A63" s="15" t="s">
        <v>89</v>
      </c>
      <c r="B63" s="25" t="s">
        <v>82</v>
      </c>
      <c r="C63" s="42">
        <v>111</v>
      </c>
      <c r="D63" s="9">
        <v>41381</v>
      </c>
      <c r="E63" s="12" t="s">
        <v>90</v>
      </c>
      <c r="F63" s="10">
        <v>10530</v>
      </c>
      <c r="G63" s="10"/>
      <c r="H63" s="10">
        <v>1080000</v>
      </c>
      <c r="I63" s="62">
        <v>0.5</v>
      </c>
    </row>
    <row r="64" spans="1:9" s="7" customFormat="1">
      <c r="A64" s="15" t="s">
        <v>166</v>
      </c>
      <c r="B64" s="25" t="s">
        <v>167</v>
      </c>
      <c r="C64" s="39">
        <v>111</v>
      </c>
      <c r="D64" s="9">
        <v>41417</v>
      </c>
      <c r="E64" s="12" t="s">
        <v>90</v>
      </c>
      <c r="F64" s="10">
        <v>1850.4</v>
      </c>
      <c r="G64" s="10">
        <v>0</v>
      </c>
      <c r="H64" s="10">
        <v>231300</v>
      </c>
      <c r="I64" s="62">
        <v>1</v>
      </c>
    </row>
    <row r="65" spans="1:9" s="7" customFormat="1">
      <c r="A65" s="15" t="s">
        <v>145</v>
      </c>
      <c r="B65" s="25" t="s">
        <v>85</v>
      </c>
      <c r="C65" s="39">
        <v>402</v>
      </c>
      <c r="D65" s="9">
        <v>41414</v>
      </c>
      <c r="E65" s="12" t="s">
        <v>90</v>
      </c>
      <c r="F65" s="10">
        <v>1484.74</v>
      </c>
      <c r="G65" s="10">
        <v>1716.73</v>
      </c>
      <c r="H65" s="10">
        <v>371184.04</v>
      </c>
      <c r="I65" s="62">
        <v>1</v>
      </c>
    </row>
    <row r="66" spans="1:9" s="7" customFormat="1">
      <c r="A66" s="15" t="s">
        <v>145</v>
      </c>
      <c r="B66" s="25" t="s">
        <v>85</v>
      </c>
      <c r="C66" s="39">
        <v>513</v>
      </c>
      <c r="D66" s="9">
        <v>41411</v>
      </c>
      <c r="E66" s="12" t="s">
        <v>90</v>
      </c>
      <c r="F66" s="10">
        <v>1986.43</v>
      </c>
      <c r="G66" s="10">
        <v>2296.81</v>
      </c>
      <c r="H66" s="10">
        <v>496606.83</v>
      </c>
      <c r="I66" s="62">
        <v>1</v>
      </c>
    </row>
    <row r="67" spans="1:9" s="7" customFormat="1">
      <c r="A67" s="15" t="s">
        <v>145</v>
      </c>
      <c r="B67" s="25" t="s">
        <v>85</v>
      </c>
      <c r="C67" s="39">
        <v>1104</v>
      </c>
      <c r="D67" s="9">
        <v>41411</v>
      </c>
      <c r="E67" s="12" t="s">
        <v>90</v>
      </c>
      <c r="F67" s="10">
        <v>1966.5</v>
      </c>
      <c r="G67" s="10">
        <v>2273.7600000000002</v>
      </c>
      <c r="H67" s="10">
        <v>491624.63</v>
      </c>
      <c r="I67" s="62">
        <v>1</v>
      </c>
    </row>
    <row r="68" spans="1:9" s="7" customFormat="1">
      <c r="A68" s="15" t="s">
        <v>145</v>
      </c>
      <c r="B68" s="25" t="s">
        <v>85</v>
      </c>
      <c r="C68" s="39">
        <v>2403</v>
      </c>
      <c r="D68" s="9">
        <v>41407</v>
      </c>
      <c r="E68" s="12" t="s">
        <v>90</v>
      </c>
      <c r="F68" s="10">
        <v>1539.2</v>
      </c>
      <c r="G68" s="10">
        <v>1779.69</v>
      </c>
      <c r="H68" s="10">
        <v>384798.85</v>
      </c>
      <c r="I68" s="62">
        <v>1</v>
      </c>
    </row>
    <row r="69" spans="1:9" s="7" customFormat="1">
      <c r="A69" s="15" t="s">
        <v>145</v>
      </c>
      <c r="B69" s="25" t="s">
        <v>85</v>
      </c>
      <c r="C69" s="39">
        <v>2513</v>
      </c>
      <c r="D69" s="9">
        <v>41403</v>
      </c>
      <c r="E69" s="12" t="s">
        <v>90</v>
      </c>
      <c r="F69" s="10">
        <v>2738.05</v>
      </c>
      <c r="G69" s="10">
        <v>1899.52</v>
      </c>
      <c r="H69" s="10">
        <v>491214.29</v>
      </c>
      <c r="I69" s="62">
        <v>1</v>
      </c>
    </row>
    <row r="70" spans="1:9" s="7" customFormat="1">
      <c r="A70" s="15" t="s">
        <v>145</v>
      </c>
      <c r="B70" s="25" t="s">
        <v>85</v>
      </c>
      <c r="C70" s="39">
        <v>2612</v>
      </c>
      <c r="D70" s="9">
        <v>41403</v>
      </c>
      <c r="E70" s="12" t="s">
        <v>90</v>
      </c>
      <c r="F70" s="10">
        <v>2738.05</v>
      </c>
      <c r="G70" s="10">
        <v>1899.52</v>
      </c>
      <c r="H70" s="10">
        <v>684512</v>
      </c>
      <c r="I70" s="62">
        <v>1</v>
      </c>
    </row>
    <row r="71" spans="1:9" s="7" customFormat="1">
      <c r="A71" s="15" t="s">
        <v>145</v>
      </c>
      <c r="B71" s="25" t="s">
        <v>85</v>
      </c>
      <c r="C71" s="39">
        <v>1316</v>
      </c>
      <c r="D71" s="9">
        <v>41441</v>
      </c>
      <c r="E71" s="12" t="s">
        <v>90</v>
      </c>
      <c r="F71" s="10">
        <v>1576.48</v>
      </c>
      <c r="G71" s="10">
        <v>1822.81</v>
      </c>
      <c r="H71" s="10">
        <v>394120.81</v>
      </c>
      <c r="I71" s="62">
        <v>1</v>
      </c>
    </row>
    <row r="72" spans="1:9" s="7" customFormat="1">
      <c r="A72" s="15" t="s">
        <v>270</v>
      </c>
      <c r="B72" s="25" t="s">
        <v>273</v>
      </c>
      <c r="C72" s="42">
        <v>13</v>
      </c>
      <c r="D72" s="9">
        <v>41452</v>
      </c>
      <c r="E72" s="12" t="s">
        <v>90</v>
      </c>
      <c r="F72" s="10">
        <v>891.66</v>
      </c>
      <c r="G72" s="10">
        <v>902.8</v>
      </c>
      <c r="H72" s="10">
        <v>222914.63</v>
      </c>
      <c r="I72" s="62">
        <v>0.5</v>
      </c>
    </row>
    <row r="73" spans="1:9" s="7" customFormat="1">
      <c r="A73" s="15" t="s">
        <v>270</v>
      </c>
      <c r="B73" s="25" t="s">
        <v>278</v>
      </c>
      <c r="C73" s="39">
        <v>83</v>
      </c>
      <c r="D73" s="9">
        <v>41451</v>
      </c>
      <c r="E73" s="12" t="s">
        <v>90</v>
      </c>
      <c r="F73" s="10">
        <v>2677.16</v>
      </c>
      <c r="G73" s="10">
        <v>1422.24</v>
      </c>
      <c r="H73" s="10">
        <v>669289.18000000005</v>
      </c>
      <c r="I73" s="34">
        <v>1</v>
      </c>
    </row>
    <row r="74" spans="1:9" s="7" customFormat="1">
      <c r="A74" s="15" t="s">
        <v>145</v>
      </c>
      <c r="B74" s="25" t="s">
        <v>85</v>
      </c>
      <c r="C74" s="39">
        <v>1716</v>
      </c>
      <c r="D74" s="9">
        <v>41453</v>
      </c>
      <c r="E74" s="12" t="s">
        <v>90</v>
      </c>
      <c r="F74" s="10">
        <v>1620.68</v>
      </c>
      <c r="G74" s="10">
        <v>1873.92</v>
      </c>
      <c r="H74" s="10">
        <v>405170.97</v>
      </c>
      <c r="I74" s="34">
        <v>1</v>
      </c>
    </row>
    <row r="75" spans="1:9" s="7" customFormat="1">
      <c r="A75" s="15" t="s">
        <v>299</v>
      </c>
      <c r="B75" s="25" t="s">
        <v>85</v>
      </c>
      <c r="C75" s="39">
        <v>203</v>
      </c>
      <c r="D75" s="9">
        <v>41455</v>
      </c>
      <c r="E75" s="12" t="s">
        <v>90</v>
      </c>
      <c r="F75" s="10">
        <v>2973.6</v>
      </c>
      <c r="G75" s="10">
        <v>0</v>
      </c>
      <c r="H75" s="10">
        <v>371700</v>
      </c>
      <c r="I75" s="34">
        <v>1</v>
      </c>
    </row>
    <row r="76" spans="1:9" s="7" customFormat="1">
      <c r="A76" s="15"/>
      <c r="B76" s="25"/>
      <c r="C76" s="39"/>
      <c r="D76" s="9"/>
      <c r="E76" s="12"/>
      <c r="F76" s="10"/>
      <c r="G76" s="10"/>
      <c r="H76" s="10"/>
      <c r="I76" s="62"/>
    </row>
    <row r="77" spans="1:9">
      <c r="A77" s="15"/>
      <c r="B77" s="25"/>
      <c r="C77" s="39"/>
      <c r="D77" s="9"/>
      <c r="E77" s="12"/>
      <c r="F77" s="10"/>
      <c r="G77" s="10"/>
      <c r="H77" s="10"/>
      <c r="I77" s="62"/>
    </row>
    <row r="78" spans="1:9">
      <c r="A78" s="15"/>
      <c r="B78" s="25"/>
      <c r="C78" s="39"/>
      <c r="D78" s="9"/>
      <c r="E78" s="12"/>
      <c r="F78" s="10"/>
      <c r="G78" s="10"/>
      <c r="H78" s="10"/>
      <c r="I78" s="62"/>
    </row>
    <row r="79" spans="1:9">
      <c r="A79" s="15"/>
      <c r="B79" s="25"/>
      <c r="C79" s="39"/>
      <c r="D79" s="9"/>
      <c r="E79" s="12"/>
      <c r="F79" s="10"/>
      <c r="G79" s="10"/>
      <c r="H79" s="10"/>
      <c r="I79" s="62"/>
    </row>
    <row r="80" spans="1:9">
      <c r="A80" s="15"/>
      <c r="B80" s="25"/>
      <c r="C80" s="39"/>
      <c r="D80" s="9"/>
      <c r="E80" s="12"/>
      <c r="F80" s="10"/>
      <c r="G80" s="10"/>
      <c r="H80" s="10"/>
      <c r="I80" s="62"/>
    </row>
    <row r="81" spans="1:9">
      <c r="A81" s="15"/>
      <c r="B81" s="25"/>
      <c r="C81" s="39"/>
      <c r="D81" s="9"/>
      <c r="E81" s="12"/>
      <c r="F81" s="10"/>
      <c r="G81" s="10"/>
      <c r="H81" s="10"/>
      <c r="I81" s="62"/>
    </row>
    <row r="82" spans="1:9">
      <c r="A82" s="15"/>
      <c r="B82" s="25"/>
      <c r="C82" s="39"/>
      <c r="D82" s="9"/>
      <c r="E82" s="12"/>
      <c r="F82" s="10"/>
      <c r="G82" s="10"/>
      <c r="H82" s="10"/>
      <c r="I82" s="62"/>
    </row>
    <row r="83" spans="1:9">
      <c r="A83" s="15"/>
      <c r="B83" s="25"/>
      <c r="C83" s="39"/>
      <c r="D83" s="9"/>
      <c r="E83" s="12"/>
      <c r="F83" s="10"/>
      <c r="G83" s="10"/>
      <c r="H83" s="10"/>
      <c r="I83" s="62"/>
    </row>
    <row r="84" spans="1:9">
      <c r="A84" s="15"/>
      <c r="B84" s="25"/>
      <c r="C84" s="39"/>
      <c r="D84" s="9"/>
      <c r="E84" s="12"/>
      <c r="F84" s="10"/>
      <c r="G84" s="10"/>
      <c r="H84" s="10"/>
      <c r="I84" s="62"/>
    </row>
    <row r="85" spans="1:9">
      <c r="A85" s="15"/>
      <c r="B85" s="25"/>
      <c r="C85" s="39"/>
      <c r="D85" s="9"/>
      <c r="E85" s="12"/>
      <c r="F85" s="10"/>
      <c r="G85" s="10"/>
      <c r="H85" s="10"/>
      <c r="I85" s="62"/>
    </row>
    <row r="86" spans="1:9">
      <c r="A86" s="15"/>
      <c r="B86" s="25"/>
      <c r="C86" s="39"/>
      <c r="D86" s="9"/>
      <c r="E86" s="12"/>
      <c r="F86" s="10"/>
      <c r="G86" s="10"/>
      <c r="H86" s="10"/>
      <c r="I86" s="62"/>
    </row>
    <row r="87" spans="1:9">
      <c r="A87" s="15"/>
      <c r="B87" s="25"/>
      <c r="C87" s="39"/>
      <c r="D87" s="9"/>
      <c r="E87" s="12"/>
      <c r="F87" s="10"/>
      <c r="G87" s="10"/>
      <c r="H87" s="10"/>
      <c r="I87" s="62"/>
    </row>
    <row r="88" spans="1:9">
      <c r="A88" s="15"/>
      <c r="B88" s="25"/>
      <c r="C88" s="39"/>
      <c r="D88" s="9"/>
      <c r="E88" s="12"/>
      <c r="F88" s="10"/>
      <c r="G88" s="10"/>
      <c r="H88" s="10"/>
      <c r="I88" s="62"/>
    </row>
    <row r="89" spans="1:9">
      <c r="H89" s="95">
        <f>SUM(H2:H71)</f>
        <v>32440523.049999997</v>
      </c>
      <c r="I89" s="96">
        <f>SUM(I2:I71)</f>
        <v>66</v>
      </c>
    </row>
  </sheetData>
  <autoFilter ref="A1:I1">
    <sortState ref="A2:I60">
      <sortCondition ref="E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"/>
  <sheetViews>
    <sheetView workbookViewId="0">
      <selection activeCell="B9" sqref="B9"/>
    </sheetView>
  </sheetViews>
  <sheetFormatPr defaultRowHeight="14.4"/>
  <cols>
    <col min="1" max="1" width="18.5546875" customWidth="1"/>
    <col min="3" max="3" width="10.5546875" customWidth="1"/>
    <col min="4" max="4" width="15.6640625" customWidth="1"/>
    <col min="5" max="5" width="14" customWidth="1"/>
    <col min="6" max="6" width="15.6640625" customWidth="1"/>
    <col min="8" max="8" width="19.33203125" customWidth="1"/>
    <col min="9" max="9" width="17.33203125" customWidth="1"/>
    <col min="10" max="10" width="10.44140625" customWidth="1"/>
    <col min="11" max="11" width="19.33203125" customWidth="1"/>
    <col min="12" max="12" width="17.33203125" customWidth="1"/>
    <col min="13" max="13" width="18.109375" customWidth="1"/>
    <col min="14" max="14" width="16.109375" customWidth="1"/>
    <col min="15" max="15" width="15.109375" customWidth="1"/>
    <col min="16" max="16" width="24" customWidth="1"/>
    <col min="17" max="17" width="15.33203125" customWidth="1"/>
    <col min="18" max="18" width="24.109375" customWidth="1"/>
    <col min="19" max="19" width="17.6640625" customWidth="1"/>
    <col min="21" max="21" width="12.6640625" customWidth="1"/>
    <col min="23" max="23" width="12.109375" customWidth="1"/>
    <col min="26" max="26" width="10" customWidth="1"/>
    <col min="27" max="27" width="14.44140625" customWidth="1"/>
    <col min="28" max="28" width="9.5546875" customWidth="1"/>
    <col min="31" max="31" width="11" customWidth="1"/>
    <col min="32" max="32" width="23" customWidth="1"/>
  </cols>
  <sheetData>
    <row r="1" spans="1:32">
      <c r="A1" t="s">
        <v>11</v>
      </c>
      <c r="B1" t="s">
        <v>10</v>
      </c>
      <c r="C1" t="s">
        <v>0</v>
      </c>
      <c r="D1" t="s">
        <v>326</v>
      </c>
      <c r="E1" t="s">
        <v>330</v>
      </c>
      <c r="F1" t="s">
        <v>1</v>
      </c>
      <c r="G1" t="s">
        <v>2</v>
      </c>
      <c r="H1" t="s">
        <v>339</v>
      </c>
      <c r="I1" t="s">
        <v>340</v>
      </c>
      <c r="J1" t="s">
        <v>6</v>
      </c>
      <c r="K1" t="s">
        <v>337</v>
      </c>
      <c r="L1" t="s">
        <v>338</v>
      </c>
      <c r="M1" t="s">
        <v>346</v>
      </c>
      <c r="N1" t="s">
        <v>347</v>
      </c>
      <c r="O1" t="s">
        <v>335</v>
      </c>
      <c r="P1" t="s">
        <v>336</v>
      </c>
      <c r="Q1" t="s">
        <v>342</v>
      </c>
      <c r="R1" t="s">
        <v>343</v>
      </c>
      <c r="S1" t="s">
        <v>334</v>
      </c>
      <c r="T1" t="s">
        <v>348</v>
      </c>
      <c r="U1" t="s">
        <v>344</v>
      </c>
      <c r="V1" t="s">
        <v>333</v>
      </c>
      <c r="W1" t="s">
        <v>345</v>
      </c>
      <c r="X1" t="s">
        <v>3</v>
      </c>
      <c r="Y1" t="s">
        <v>341</v>
      </c>
      <c r="Z1" t="s">
        <v>349</v>
      </c>
      <c r="AA1" t="s">
        <v>350</v>
      </c>
      <c r="AB1" t="s">
        <v>13</v>
      </c>
      <c r="AC1" t="s">
        <v>324</v>
      </c>
      <c r="AD1" t="s">
        <v>325</v>
      </c>
      <c r="AE1" t="s">
        <v>356</v>
      </c>
      <c r="AF1" t="s">
        <v>358</v>
      </c>
    </row>
    <row r="2" spans="1:32">
      <c r="A2" t="s">
        <v>191</v>
      </c>
      <c r="B2" t="s">
        <v>363</v>
      </c>
      <c r="C2">
        <v>64</v>
      </c>
      <c r="D2" t="s">
        <v>328</v>
      </c>
      <c r="E2" t="s">
        <v>331</v>
      </c>
      <c r="F2" s="206">
        <v>41663</v>
      </c>
      <c r="G2" t="s">
        <v>389</v>
      </c>
      <c r="H2">
        <v>2182.87</v>
      </c>
      <c r="I2">
        <v>1866.35</v>
      </c>
      <c r="J2" t="s">
        <v>23</v>
      </c>
      <c r="K2">
        <v>436.57</v>
      </c>
      <c r="L2">
        <v>933.18</v>
      </c>
      <c r="M2">
        <v>0</v>
      </c>
      <c r="N2">
        <v>0</v>
      </c>
      <c r="O2" t="s">
        <v>353</v>
      </c>
      <c r="P2">
        <v>0</v>
      </c>
      <c r="Q2" t="s">
        <v>354</v>
      </c>
      <c r="R2">
        <v>0</v>
      </c>
      <c r="S2">
        <v>0</v>
      </c>
      <c r="T2" s="206">
        <v>41663</v>
      </c>
      <c r="U2" t="s">
        <v>373</v>
      </c>
      <c r="V2">
        <v>0</v>
      </c>
      <c r="X2">
        <v>109143.535</v>
      </c>
      <c r="Y2">
        <v>109143.535</v>
      </c>
      <c r="AB2">
        <v>0.5</v>
      </c>
      <c r="AC2">
        <v>1</v>
      </c>
      <c r="AD2">
        <v>2014</v>
      </c>
    </row>
    <row r="3" spans="1:32">
      <c r="A3" t="s">
        <v>374</v>
      </c>
      <c r="B3" t="s">
        <v>376</v>
      </c>
      <c r="C3">
        <v>73</v>
      </c>
      <c r="D3" t="s">
        <v>328</v>
      </c>
      <c r="E3" t="s">
        <v>332</v>
      </c>
      <c r="F3" s="206">
        <v>41653</v>
      </c>
      <c r="G3" t="s">
        <v>160</v>
      </c>
      <c r="H3">
        <v>7684.26</v>
      </c>
      <c r="I3">
        <v>5330.96</v>
      </c>
      <c r="J3" t="s">
        <v>23</v>
      </c>
      <c r="K3">
        <v>1921.07</v>
      </c>
      <c r="L3">
        <v>2665.48</v>
      </c>
      <c r="M3">
        <v>480.27</v>
      </c>
      <c r="N3">
        <v>888.49</v>
      </c>
      <c r="O3" t="s">
        <v>63</v>
      </c>
      <c r="P3">
        <v>720.4</v>
      </c>
      <c r="Q3" t="s">
        <v>320</v>
      </c>
      <c r="R3">
        <v>0</v>
      </c>
      <c r="S3">
        <v>5282.93</v>
      </c>
      <c r="T3" s="206">
        <v>42165</v>
      </c>
      <c r="U3">
        <v>3021</v>
      </c>
      <c r="V3">
        <v>1335.22</v>
      </c>
      <c r="W3">
        <v>3021</v>
      </c>
      <c r="X3">
        <v>480266.53</v>
      </c>
      <c r="Y3">
        <v>396231.25</v>
      </c>
      <c r="AB3">
        <v>1</v>
      </c>
      <c r="AC3">
        <v>1</v>
      </c>
      <c r="AD3">
        <v>2014</v>
      </c>
    </row>
    <row r="4" spans="1:32">
      <c r="A4" t="s">
        <v>385</v>
      </c>
      <c r="B4" t="s">
        <v>386</v>
      </c>
      <c r="C4">
        <v>1606</v>
      </c>
      <c r="D4" t="s">
        <v>328</v>
      </c>
      <c r="E4" t="s">
        <v>332</v>
      </c>
      <c r="F4" s="206">
        <v>41647</v>
      </c>
      <c r="G4" t="s">
        <v>388</v>
      </c>
      <c r="H4">
        <v>6567.2</v>
      </c>
      <c r="I4">
        <v>8619.4500000000007</v>
      </c>
      <c r="J4" t="s">
        <v>23</v>
      </c>
      <c r="K4">
        <v>1641.8</v>
      </c>
      <c r="L4">
        <v>4309.72</v>
      </c>
      <c r="M4">
        <v>410.45</v>
      </c>
      <c r="N4">
        <v>1436.57</v>
      </c>
      <c r="O4" t="s">
        <v>387</v>
      </c>
      <c r="P4">
        <v>2462.6999999999998</v>
      </c>
      <c r="Q4" t="s">
        <v>320</v>
      </c>
      <c r="R4">
        <v>0</v>
      </c>
      <c r="S4">
        <v>4104.5</v>
      </c>
      <c r="T4" s="206">
        <v>42195</v>
      </c>
      <c r="U4">
        <v>3017</v>
      </c>
      <c r="V4">
        <v>1138.08</v>
      </c>
      <c r="W4">
        <v>3017</v>
      </c>
      <c r="X4">
        <v>410449.86</v>
      </c>
      <c r="Y4">
        <v>338560.44</v>
      </c>
      <c r="AB4">
        <v>1</v>
      </c>
      <c r="AC4">
        <v>1</v>
      </c>
      <c r="AD4">
        <v>2014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6"/>
  <sheetViews>
    <sheetView showGridLines="0" topLeftCell="E1" zoomScaleNormal="100" workbookViewId="0">
      <selection activeCell="L29" sqref="L29"/>
    </sheetView>
  </sheetViews>
  <sheetFormatPr defaultRowHeight="14.4"/>
  <cols>
    <col min="1" max="1" width="13.33203125" customWidth="1"/>
    <col min="2" max="2" width="12.5546875" customWidth="1"/>
    <col min="3" max="3" width="14.44140625" customWidth="1"/>
    <col min="4" max="4" width="6.109375" customWidth="1"/>
    <col min="5" max="7" width="6.109375" style="155" customWidth="1"/>
    <col min="8" max="8" width="10" customWidth="1"/>
    <col min="9" max="9" width="18" customWidth="1"/>
    <col min="10" max="10" width="13.44140625" customWidth="1"/>
    <col min="11" max="11" width="11.88671875" customWidth="1"/>
    <col min="12" max="12" width="14.44140625" style="155" customWidth="1"/>
    <col min="13" max="13" width="15.6640625" style="155" customWidth="1"/>
    <col min="14" max="14" width="12.5546875" customWidth="1"/>
    <col min="15" max="15" width="12.5546875" bestFit="1" customWidth="1"/>
  </cols>
  <sheetData>
    <row r="1" spans="1:13">
      <c r="A1" s="157" t="s">
        <v>325</v>
      </c>
      <c r="B1" s="145">
        <v>2014</v>
      </c>
      <c r="I1" s="155"/>
      <c r="J1" s="145"/>
    </row>
    <row r="2" spans="1:13">
      <c r="A2" s="157" t="s">
        <v>324</v>
      </c>
      <c r="B2" s="145">
        <v>2</v>
      </c>
      <c r="I2" s="155"/>
      <c r="J2" s="155"/>
    </row>
    <row r="3" spans="1:13">
      <c r="J3" s="157" t="s">
        <v>325</v>
      </c>
      <c r="K3" s="145">
        <v>2014</v>
      </c>
    </row>
    <row r="4" spans="1:13">
      <c r="B4" s="157" t="s">
        <v>322</v>
      </c>
      <c r="J4" s="157" t="s">
        <v>324</v>
      </c>
      <c r="K4" s="145">
        <v>2</v>
      </c>
    </row>
    <row r="5" spans="1:13">
      <c r="A5" s="157" t="s">
        <v>411</v>
      </c>
      <c r="B5" s="170" t="s">
        <v>321</v>
      </c>
      <c r="C5" s="170" t="s">
        <v>323</v>
      </c>
      <c r="I5" s="155"/>
      <c r="J5" s="155"/>
      <c r="K5" s="155"/>
    </row>
    <row r="6" spans="1:13">
      <c r="A6" s="160" t="s">
        <v>328</v>
      </c>
      <c r="B6" s="5"/>
      <c r="C6" s="156"/>
      <c r="I6" s="160"/>
      <c r="K6" s="157" t="s">
        <v>322</v>
      </c>
      <c r="L6"/>
      <c r="M6" s="156"/>
    </row>
    <row r="7" spans="1:13">
      <c r="A7" s="144" t="s">
        <v>26</v>
      </c>
      <c r="B7" s="5">
        <v>3044537</v>
      </c>
      <c r="C7" s="156">
        <v>8</v>
      </c>
      <c r="I7" s="144"/>
      <c r="J7" s="157" t="s">
        <v>415</v>
      </c>
      <c r="K7" s="170" t="s">
        <v>321</v>
      </c>
      <c r="L7" s="170" t="s">
        <v>323</v>
      </c>
      <c r="M7" s="156"/>
    </row>
    <row r="8" spans="1:13">
      <c r="A8" s="144" t="s">
        <v>27</v>
      </c>
      <c r="B8" s="5">
        <v>981000</v>
      </c>
      <c r="C8" s="156">
        <v>3</v>
      </c>
      <c r="I8" s="144"/>
      <c r="J8" s="160" t="s">
        <v>328</v>
      </c>
      <c r="K8" s="207">
        <v>5460776.1200000001</v>
      </c>
      <c r="L8" s="156">
        <v>14.5</v>
      </c>
      <c r="M8" s="156"/>
    </row>
    <row r="9" spans="1:13">
      <c r="A9" s="144" t="s">
        <v>61</v>
      </c>
      <c r="B9" s="5">
        <v>483529.12</v>
      </c>
      <c r="C9" s="156">
        <v>1</v>
      </c>
      <c r="I9" s="144"/>
      <c r="J9" s="144" t="s">
        <v>412</v>
      </c>
      <c r="K9" s="207">
        <v>813500</v>
      </c>
      <c r="L9" s="156">
        <v>2</v>
      </c>
      <c r="M9" s="156"/>
    </row>
    <row r="10" spans="1:13">
      <c r="A10" s="144" t="s">
        <v>369</v>
      </c>
      <c r="B10" s="5">
        <v>479400</v>
      </c>
      <c r="C10" s="156">
        <v>1</v>
      </c>
      <c r="I10" s="144"/>
      <c r="J10" s="144" t="s">
        <v>283</v>
      </c>
      <c r="K10" s="207">
        <v>771737</v>
      </c>
      <c r="L10" s="156">
        <v>2</v>
      </c>
      <c r="M10" s="156"/>
    </row>
    <row r="11" spans="1:13">
      <c r="A11" s="144" t="s">
        <v>25</v>
      </c>
      <c r="B11" s="5">
        <v>345960</v>
      </c>
      <c r="C11" s="156">
        <v>1</v>
      </c>
      <c r="I11" s="144"/>
      <c r="J11" s="144" t="s">
        <v>309</v>
      </c>
      <c r="K11" s="207">
        <v>659000</v>
      </c>
      <c r="L11" s="156">
        <v>1</v>
      </c>
      <c r="M11" s="156"/>
    </row>
    <row r="12" spans="1:13">
      <c r="A12" s="144" t="s">
        <v>24</v>
      </c>
      <c r="B12" s="5">
        <v>126350</v>
      </c>
      <c r="C12" s="156">
        <v>0.5</v>
      </c>
      <c r="I12" s="144"/>
      <c r="J12" s="144" t="s">
        <v>275</v>
      </c>
      <c r="K12" s="207">
        <v>545700</v>
      </c>
      <c r="L12" s="156">
        <v>1</v>
      </c>
      <c r="M12" s="156"/>
    </row>
    <row r="13" spans="1:13">
      <c r="A13" s="160" t="s">
        <v>413</v>
      </c>
      <c r="B13" s="207">
        <v>5460776.1200000001</v>
      </c>
      <c r="C13" s="156">
        <v>14.5</v>
      </c>
      <c r="I13" s="144"/>
      <c r="J13" s="144" t="s">
        <v>310</v>
      </c>
      <c r="K13" s="207">
        <v>483529.12</v>
      </c>
      <c r="L13" s="156">
        <v>1</v>
      </c>
      <c r="M13" s="156"/>
    </row>
    <row r="14" spans="1:13">
      <c r="I14" s="144"/>
      <c r="J14" s="144" t="s">
        <v>19</v>
      </c>
      <c r="K14" s="207">
        <v>435300</v>
      </c>
      <c r="L14" s="156">
        <v>2</v>
      </c>
      <c r="M14" s="156"/>
    </row>
    <row r="15" spans="1:13">
      <c r="I15" s="144"/>
      <c r="J15" s="144" t="s">
        <v>56</v>
      </c>
      <c r="K15" s="207">
        <v>350300</v>
      </c>
      <c r="L15" s="156">
        <v>1</v>
      </c>
      <c r="M15" s="156"/>
    </row>
    <row r="16" spans="1:13">
      <c r="I16" s="144"/>
      <c r="J16" s="144" t="s">
        <v>417</v>
      </c>
      <c r="K16" s="207">
        <v>345960</v>
      </c>
      <c r="L16" s="156">
        <v>1</v>
      </c>
      <c r="M16" s="156"/>
    </row>
    <row r="17" spans="1:13">
      <c r="I17" s="144"/>
      <c r="J17" s="144" t="s">
        <v>148</v>
      </c>
      <c r="K17" s="207">
        <v>240000</v>
      </c>
      <c r="L17" s="156">
        <v>1</v>
      </c>
      <c r="M17" s="156"/>
    </row>
    <row r="18" spans="1:13">
      <c r="I18" s="144"/>
      <c r="J18" s="144" t="s">
        <v>404</v>
      </c>
      <c r="K18" s="207">
        <v>239700</v>
      </c>
      <c r="L18" s="156">
        <v>0.5</v>
      </c>
      <c r="M18" s="156"/>
    </row>
    <row r="19" spans="1:13">
      <c r="I19" s="144"/>
      <c r="J19" s="144" t="s">
        <v>277</v>
      </c>
      <c r="K19" s="207">
        <v>239700</v>
      </c>
      <c r="L19" s="156">
        <v>0.5</v>
      </c>
      <c r="M19" s="156"/>
    </row>
    <row r="20" spans="1:13">
      <c r="I20" s="144"/>
      <c r="J20" s="144" t="s">
        <v>418</v>
      </c>
      <c r="K20" s="207">
        <v>210000</v>
      </c>
      <c r="L20" s="156">
        <v>1</v>
      </c>
      <c r="M20" s="156"/>
    </row>
    <row r="21" spans="1:13">
      <c r="I21" s="144"/>
      <c r="J21" s="144" t="s">
        <v>307</v>
      </c>
      <c r="K21" s="207">
        <v>126350</v>
      </c>
      <c r="L21" s="156">
        <v>0.5</v>
      </c>
      <c r="M21" s="156"/>
    </row>
    <row r="22" spans="1:13">
      <c r="A22" s="157" t="s">
        <v>325</v>
      </c>
      <c r="B22" s="145">
        <v>2014</v>
      </c>
      <c r="I22" s="144"/>
      <c r="J22" s="160" t="s">
        <v>413</v>
      </c>
      <c r="K22" s="207">
        <v>5460776.1200000001</v>
      </c>
      <c r="L22" s="156">
        <v>14.5</v>
      </c>
      <c r="M22" s="156"/>
    </row>
    <row r="23" spans="1:13">
      <c r="A23" s="157" t="s">
        <v>324</v>
      </c>
      <c r="B23" s="145">
        <v>2</v>
      </c>
      <c r="I23" s="144"/>
      <c r="L23"/>
      <c r="M23" s="156"/>
    </row>
    <row r="24" spans="1:13">
      <c r="I24" s="144"/>
      <c r="L24"/>
      <c r="M24" s="156"/>
    </row>
    <row r="25" spans="1:13">
      <c r="B25" s="157" t="s">
        <v>322</v>
      </c>
      <c r="D25" s="7"/>
      <c r="H25" s="7"/>
      <c r="I25" s="144"/>
      <c r="L25"/>
      <c r="M25" s="156"/>
    </row>
    <row r="26" spans="1:13">
      <c r="A26" s="157" t="s">
        <v>415</v>
      </c>
      <c r="B26" s="170" t="s">
        <v>321</v>
      </c>
      <c r="C26" s="170" t="s">
        <v>323</v>
      </c>
      <c r="D26" s="7"/>
      <c r="H26" s="7"/>
      <c r="I26" s="144"/>
      <c r="L26"/>
      <c r="M26" s="156"/>
    </row>
    <row r="27" spans="1:13">
      <c r="A27" s="160" t="s">
        <v>327</v>
      </c>
      <c r="B27" s="161">
        <v>392523.62</v>
      </c>
      <c r="C27" s="156">
        <v>1</v>
      </c>
      <c r="I27" s="144"/>
      <c r="L27"/>
      <c r="M27" s="156"/>
    </row>
    <row r="28" spans="1:13">
      <c r="A28" s="144" t="s">
        <v>351</v>
      </c>
      <c r="B28" s="161">
        <v>392523.62</v>
      </c>
      <c r="C28" s="156">
        <v>1</v>
      </c>
      <c r="I28" s="144"/>
      <c r="L28"/>
      <c r="M28" s="156"/>
    </row>
    <row r="29" spans="1:13">
      <c r="A29" s="160" t="s">
        <v>413</v>
      </c>
      <c r="B29" s="163">
        <v>392523.62</v>
      </c>
      <c r="C29" s="156">
        <v>1</v>
      </c>
      <c r="I29" s="144"/>
      <c r="L29"/>
      <c r="M29" s="156"/>
    </row>
    <row r="30" spans="1:13">
      <c r="I30" s="144"/>
      <c r="L30"/>
      <c r="M30" s="156"/>
    </row>
    <row r="31" spans="1:13">
      <c r="I31" s="144"/>
      <c r="L31"/>
      <c r="M31" s="156"/>
    </row>
    <row r="32" spans="1:13">
      <c r="I32" s="144"/>
      <c r="L32"/>
      <c r="M32" s="156"/>
    </row>
    <row r="33" spans="1:13">
      <c r="I33" s="144"/>
      <c r="L33"/>
      <c r="M33" s="156"/>
    </row>
    <row r="34" spans="1:13">
      <c r="I34" s="144"/>
      <c r="L34"/>
      <c r="M34" s="156"/>
    </row>
    <row r="35" spans="1:13">
      <c r="I35" s="144"/>
      <c r="L35"/>
      <c r="M35" s="156"/>
    </row>
    <row r="36" spans="1:13">
      <c r="I36" s="144"/>
      <c r="L36"/>
      <c r="M36" s="156"/>
    </row>
    <row r="37" spans="1:13">
      <c r="A37" s="157" t="s">
        <v>325</v>
      </c>
      <c r="B37" s="145">
        <v>2014</v>
      </c>
      <c r="I37" s="144"/>
      <c r="L37"/>
      <c r="M37" s="156"/>
    </row>
    <row r="38" spans="1:13">
      <c r="A38" s="157" t="s">
        <v>324</v>
      </c>
      <c r="B38" s="145">
        <v>2</v>
      </c>
      <c r="I38" s="144"/>
      <c r="L38"/>
      <c r="M38" s="156"/>
    </row>
    <row r="39" spans="1:13">
      <c r="A39" s="7"/>
      <c r="I39" s="144"/>
      <c r="L39"/>
      <c r="M39" s="156"/>
    </row>
    <row r="40" spans="1:13">
      <c r="B40" s="157" t="s">
        <v>322</v>
      </c>
      <c r="I40" s="144"/>
      <c r="L40"/>
      <c r="M40" s="156"/>
    </row>
    <row r="41" spans="1:13">
      <c r="A41" s="157" t="s">
        <v>415</v>
      </c>
      <c r="B41" s="170" t="s">
        <v>321</v>
      </c>
      <c r="C41" s="170" t="s">
        <v>323</v>
      </c>
      <c r="I41" s="144"/>
      <c r="L41"/>
      <c r="M41" s="156"/>
    </row>
    <row r="42" spans="1:13">
      <c r="A42" s="160" t="s">
        <v>329</v>
      </c>
      <c r="B42" s="161">
        <v>1672925</v>
      </c>
      <c r="C42" s="156">
        <v>5.5</v>
      </c>
      <c r="I42" s="144"/>
      <c r="L42"/>
      <c r="M42" s="156"/>
    </row>
    <row r="43" spans="1:13">
      <c r="A43" s="144" t="s">
        <v>33</v>
      </c>
      <c r="B43" s="161">
        <v>1672925</v>
      </c>
      <c r="C43" s="156">
        <v>5.5</v>
      </c>
      <c r="I43" s="144"/>
      <c r="L43"/>
      <c r="M43" s="156"/>
    </row>
    <row r="44" spans="1:13">
      <c r="A44" s="146" t="s">
        <v>371</v>
      </c>
      <c r="B44" s="161">
        <v>1062000</v>
      </c>
      <c r="C44" s="156">
        <v>4</v>
      </c>
      <c r="I44" s="144"/>
      <c r="L44"/>
      <c r="M44" s="156"/>
    </row>
    <row r="45" spans="1:13">
      <c r="A45" s="146" t="s">
        <v>370</v>
      </c>
      <c r="B45" s="161">
        <v>484575</v>
      </c>
      <c r="C45" s="156">
        <v>1</v>
      </c>
      <c r="I45" s="144"/>
      <c r="L45"/>
      <c r="M45" s="156"/>
    </row>
    <row r="46" spans="1:13">
      <c r="A46" s="146" t="s">
        <v>372</v>
      </c>
      <c r="B46" s="161">
        <v>126350</v>
      </c>
      <c r="C46" s="156">
        <v>0.5</v>
      </c>
      <c r="I46" s="144"/>
      <c r="L46"/>
      <c r="M46" s="156"/>
    </row>
    <row r="47" spans="1:13">
      <c r="A47" s="160" t="s">
        <v>413</v>
      </c>
      <c r="B47" s="163">
        <v>1672925</v>
      </c>
      <c r="C47" s="156">
        <v>5.5</v>
      </c>
      <c r="I47" s="144"/>
      <c r="L47"/>
      <c r="M47" s="156"/>
    </row>
    <row r="48" spans="1:13">
      <c r="I48" s="144"/>
      <c r="L48"/>
      <c r="M48" s="156"/>
    </row>
    <row r="49" spans="2:13">
      <c r="I49" s="144"/>
      <c r="L49"/>
      <c r="M49" s="156"/>
    </row>
    <row r="50" spans="2:13">
      <c r="I50" s="144"/>
      <c r="L50"/>
      <c r="M50" s="156"/>
    </row>
    <row r="51" spans="2:13">
      <c r="I51" s="144"/>
      <c r="L51"/>
      <c r="M51" s="156"/>
    </row>
    <row r="52" spans="2:13">
      <c r="I52" s="144"/>
      <c r="L52"/>
      <c r="M52" s="156"/>
    </row>
    <row r="53" spans="2:13">
      <c r="I53" s="144"/>
      <c r="L53"/>
      <c r="M53" s="156"/>
    </row>
    <row r="54" spans="2:13">
      <c r="C54" s="161"/>
      <c r="I54" s="144"/>
      <c r="L54"/>
      <c r="M54" s="156"/>
    </row>
    <row r="55" spans="2:13">
      <c r="B55" s="163"/>
      <c r="I55" s="144"/>
      <c r="L55"/>
      <c r="M55" s="156"/>
    </row>
    <row r="56" spans="2:13">
      <c r="B56" s="163"/>
      <c r="I56" s="144"/>
      <c r="L56"/>
      <c r="M56" s="156"/>
    </row>
    <row r="57" spans="2:13">
      <c r="I57" s="144"/>
      <c r="L57"/>
      <c r="M57" s="156"/>
    </row>
    <row r="58" spans="2:13">
      <c r="I58" s="144"/>
      <c r="L58"/>
      <c r="M58" s="156"/>
    </row>
    <row r="59" spans="2:13">
      <c r="I59" s="144"/>
      <c r="L59"/>
      <c r="M59" s="156"/>
    </row>
    <row r="60" spans="2:13">
      <c r="I60" s="144"/>
      <c r="L60"/>
      <c r="M60" s="156"/>
    </row>
    <row r="61" spans="2:13">
      <c r="I61" s="144"/>
      <c r="L61"/>
      <c r="M61" s="156"/>
    </row>
    <row r="62" spans="2:13">
      <c r="I62" s="144"/>
      <c r="L62"/>
      <c r="M62" s="156"/>
    </row>
    <row r="63" spans="2:13">
      <c r="I63" s="144"/>
      <c r="L63"/>
      <c r="M63" s="156"/>
    </row>
    <row r="64" spans="2:13">
      <c r="I64" s="144"/>
      <c r="L64"/>
      <c r="M64" s="156"/>
    </row>
    <row r="65" spans="9:13">
      <c r="I65" s="144"/>
      <c r="L65"/>
      <c r="M65" s="156"/>
    </row>
    <row r="66" spans="9:13">
      <c r="I66" s="144"/>
      <c r="L66"/>
      <c r="M66" s="156"/>
    </row>
    <row r="67" spans="9:13">
      <c r="I67" s="144"/>
      <c r="L67"/>
      <c r="M67" s="156"/>
    </row>
    <row r="68" spans="9:13">
      <c r="I68" s="144"/>
      <c r="L68"/>
      <c r="M68" s="156"/>
    </row>
    <row r="69" spans="9:13">
      <c r="I69" s="144"/>
      <c r="L69"/>
      <c r="M69" s="156"/>
    </row>
    <row r="70" spans="9:13">
      <c r="I70" s="144"/>
      <c r="L70"/>
      <c r="M70" s="156"/>
    </row>
    <row r="71" spans="9:13">
      <c r="I71" s="144"/>
      <c r="L71"/>
      <c r="M71" s="156"/>
    </row>
    <row r="72" spans="9:13">
      <c r="I72" s="144"/>
      <c r="L72"/>
      <c r="M72" s="156"/>
    </row>
    <row r="73" spans="9:13">
      <c r="I73" s="144"/>
      <c r="L73"/>
      <c r="M73" s="156"/>
    </row>
    <row r="74" spans="9:13">
      <c r="I74" s="144"/>
      <c r="L74"/>
      <c r="M74" s="156"/>
    </row>
    <row r="75" spans="9:13">
      <c r="I75" s="144"/>
      <c r="L75"/>
      <c r="M75" s="156"/>
    </row>
    <row r="76" spans="9:13">
      <c r="I76" s="144"/>
      <c r="L76"/>
      <c r="M76" s="156"/>
    </row>
    <row r="77" spans="9:13">
      <c r="I77" s="144"/>
      <c r="L77"/>
      <c r="M77" s="156"/>
    </row>
    <row r="78" spans="9:13">
      <c r="I78" s="144"/>
      <c r="L78"/>
      <c r="M78" s="156"/>
    </row>
    <row r="79" spans="9:13">
      <c r="I79" s="144"/>
      <c r="L79"/>
      <c r="M79" s="156"/>
    </row>
    <row r="80" spans="9:13">
      <c r="I80" s="144"/>
      <c r="L80"/>
      <c r="M80" s="156"/>
    </row>
    <row r="81" spans="9:13">
      <c r="I81" s="144"/>
      <c r="L81"/>
      <c r="M81" s="156"/>
    </row>
    <row r="82" spans="9:13">
      <c r="I82" s="144"/>
      <c r="L82"/>
      <c r="M82" s="156"/>
    </row>
    <row r="83" spans="9:13">
      <c r="I83" s="144"/>
      <c r="L83"/>
      <c r="M83" s="156"/>
    </row>
    <row r="84" spans="9:13">
      <c r="I84" s="144"/>
      <c r="L84"/>
      <c r="M84" s="156"/>
    </row>
    <row r="85" spans="9:13">
      <c r="I85" s="144"/>
      <c r="L85"/>
      <c r="M85" s="156"/>
    </row>
    <row r="86" spans="9:13">
      <c r="I86" s="144"/>
      <c r="L86"/>
      <c r="M86" s="156"/>
    </row>
    <row r="87" spans="9:13">
      <c r="I87" s="144"/>
      <c r="L87"/>
      <c r="M87" s="156"/>
    </row>
    <row r="88" spans="9:13">
      <c r="I88" s="144"/>
      <c r="L88"/>
      <c r="M88" s="156"/>
    </row>
    <row r="89" spans="9:13">
      <c r="I89" s="144"/>
      <c r="L89"/>
      <c r="M89" s="156"/>
    </row>
    <row r="90" spans="9:13">
      <c r="I90" s="144"/>
      <c r="L90"/>
      <c r="M90" s="156"/>
    </row>
    <row r="91" spans="9:13">
      <c r="I91" s="144"/>
      <c r="L91"/>
      <c r="M91" s="156"/>
    </row>
    <row r="92" spans="9:13">
      <c r="I92" s="144"/>
      <c r="L92"/>
      <c r="M92" s="156"/>
    </row>
    <row r="93" spans="9:13">
      <c r="I93" s="144"/>
      <c r="L93"/>
      <c r="M93" s="156"/>
    </row>
    <row r="94" spans="9:13">
      <c r="I94" s="144"/>
      <c r="L94"/>
      <c r="M94" s="156"/>
    </row>
    <row r="95" spans="9:13">
      <c r="I95" s="144"/>
      <c r="L95"/>
      <c r="M95" s="156"/>
    </row>
    <row r="96" spans="9:13">
      <c r="I96" s="144"/>
      <c r="L96"/>
      <c r="M96" s="156"/>
    </row>
    <row r="97" spans="9:13">
      <c r="I97" s="144"/>
      <c r="L97"/>
      <c r="M97" s="156"/>
    </row>
    <row r="98" spans="9:13">
      <c r="I98" s="144"/>
      <c r="L98"/>
      <c r="M98" s="156"/>
    </row>
    <row r="99" spans="9:13">
      <c r="I99" s="144"/>
      <c r="L99"/>
      <c r="M99" s="156"/>
    </row>
    <row r="100" spans="9:13">
      <c r="I100" s="144"/>
      <c r="L100"/>
      <c r="M100" s="156"/>
    </row>
    <row r="101" spans="9:13">
      <c r="I101" s="144"/>
      <c r="L101"/>
      <c r="M101" s="156"/>
    </row>
    <row r="102" spans="9:13">
      <c r="I102" s="144"/>
      <c r="L102"/>
      <c r="M102" s="156"/>
    </row>
    <row r="103" spans="9:13">
      <c r="I103" s="144"/>
      <c r="L103"/>
      <c r="M103" s="156"/>
    </row>
    <row r="104" spans="9:13">
      <c r="I104" s="144"/>
      <c r="L104"/>
      <c r="M104" s="156"/>
    </row>
    <row r="105" spans="9:13">
      <c r="I105" s="144"/>
      <c r="L105"/>
      <c r="M105" s="156"/>
    </row>
    <row r="106" spans="9:13">
      <c r="I106" s="144"/>
      <c r="L106"/>
      <c r="M106" s="156"/>
    </row>
    <row r="107" spans="9:13">
      <c r="I107" s="144"/>
      <c r="L107"/>
      <c r="M107" s="156"/>
    </row>
    <row r="108" spans="9:13">
      <c r="I108" s="144"/>
      <c r="L108"/>
      <c r="M108" s="156"/>
    </row>
    <row r="109" spans="9:13">
      <c r="I109" s="144"/>
      <c r="L109"/>
      <c r="M109" s="156"/>
    </row>
    <row r="110" spans="9:13">
      <c r="I110" s="144"/>
      <c r="L110"/>
      <c r="M110" s="156"/>
    </row>
    <row r="111" spans="9:13">
      <c r="I111" s="144"/>
      <c r="L111"/>
      <c r="M111" s="156"/>
    </row>
    <row r="112" spans="9:13">
      <c r="I112" s="144"/>
      <c r="L112"/>
      <c r="M112" s="156"/>
    </row>
    <row r="113" spans="9:13">
      <c r="I113" s="144"/>
      <c r="L113"/>
      <c r="M113" s="156"/>
    </row>
    <row r="114" spans="9:13">
      <c r="I114" s="144"/>
      <c r="L114"/>
      <c r="M114" s="156"/>
    </row>
    <row r="115" spans="9:13">
      <c r="I115" s="144"/>
      <c r="L115"/>
      <c r="M115" s="156"/>
    </row>
    <row r="116" spans="9:13">
      <c r="I116" s="144"/>
      <c r="L116"/>
      <c r="M116" s="156"/>
    </row>
    <row r="117" spans="9:13">
      <c r="I117" s="144"/>
      <c r="L117"/>
      <c r="M117" s="156"/>
    </row>
    <row r="118" spans="9:13">
      <c r="I118" s="144"/>
      <c r="L118"/>
      <c r="M118" s="156"/>
    </row>
    <row r="119" spans="9:13">
      <c r="I119" s="144"/>
      <c r="L119"/>
      <c r="M119" s="156"/>
    </row>
    <row r="120" spans="9:13">
      <c r="I120" s="144"/>
      <c r="L120"/>
      <c r="M120" s="156"/>
    </row>
    <row r="121" spans="9:13">
      <c r="I121" s="144"/>
      <c r="L121"/>
      <c r="M121" s="156"/>
    </row>
    <row r="122" spans="9:13">
      <c r="I122" s="144"/>
      <c r="L122"/>
      <c r="M122" s="156"/>
    </row>
    <row r="123" spans="9:13">
      <c r="I123" s="144"/>
      <c r="L123"/>
      <c r="M123" s="156"/>
    </row>
    <row r="124" spans="9:13">
      <c r="I124" s="144"/>
      <c r="L124"/>
      <c r="M124" s="156"/>
    </row>
    <row r="125" spans="9:13">
      <c r="I125" s="144"/>
      <c r="L125"/>
      <c r="M125" s="156"/>
    </row>
    <row r="126" spans="9:13">
      <c r="I126" s="144"/>
      <c r="L126"/>
      <c r="M126" s="156"/>
    </row>
    <row r="127" spans="9:13">
      <c r="I127" s="144"/>
      <c r="L127"/>
      <c r="M127" s="156"/>
    </row>
    <row r="128" spans="9:13">
      <c r="I128" s="144"/>
      <c r="L128"/>
      <c r="M128" s="156"/>
    </row>
    <row r="129" spans="9:13">
      <c r="I129" s="144"/>
      <c r="L129"/>
      <c r="M129" s="156"/>
    </row>
    <row r="130" spans="9:13">
      <c r="I130" s="144"/>
      <c r="L130"/>
      <c r="M130" s="156"/>
    </row>
    <row r="131" spans="9:13">
      <c r="I131" s="144"/>
      <c r="L131"/>
      <c r="M131" s="156"/>
    </row>
    <row r="132" spans="9:13">
      <c r="I132" s="144"/>
      <c r="L132"/>
      <c r="M132" s="156"/>
    </row>
    <row r="133" spans="9:13">
      <c r="I133" s="144"/>
      <c r="L133"/>
      <c r="M133" s="156"/>
    </row>
    <row r="134" spans="9:13">
      <c r="I134" s="144"/>
      <c r="L134"/>
      <c r="M134" s="156"/>
    </row>
    <row r="135" spans="9:13">
      <c r="I135" s="144"/>
      <c r="L135"/>
      <c r="M135" s="156"/>
    </row>
    <row r="136" spans="9:13">
      <c r="I136" s="144"/>
      <c r="L136"/>
      <c r="M136" s="156"/>
    </row>
    <row r="137" spans="9:13">
      <c r="I137" s="144"/>
      <c r="L137"/>
      <c r="M137" s="156"/>
    </row>
    <row r="138" spans="9:13">
      <c r="I138" s="144"/>
      <c r="L138"/>
      <c r="M138" s="156"/>
    </row>
    <row r="139" spans="9:13">
      <c r="I139" s="144"/>
      <c r="L139"/>
      <c r="M139" s="156"/>
    </row>
    <row r="140" spans="9:13">
      <c r="I140" s="144"/>
      <c r="L140"/>
      <c r="M140" s="156"/>
    </row>
    <row r="141" spans="9:13">
      <c r="I141" s="144"/>
      <c r="L141"/>
      <c r="M141" s="156"/>
    </row>
    <row r="142" spans="9:13">
      <c r="I142" s="144"/>
      <c r="L142"/>
      <c r="M142" s="156"/>
    </row>
    <row r="143" spans="9:13">
      <c r="I143" s="144"/>
      <c r="L143"/>
      <c r="M143" s="156"/>
    </row>
    <row r="144" spans="9:13">
      <c r="I144" s="144"/>
      <c r="L144"/>
      <c r="M144" s="156"/>
    </row>
    <row r="145" spans="9:13">
      <c r="I145" s="144"/>
      <c r="L145"/>
      <c r="M145" s="156"/>
    </row>
    <row r="146" spans="9:13">
      <c r="I146" s="144"/>
      <c r="L146"/>
      <c r="M146" s="156"/>
    </row>
    <row r="147" spans="9:13">
      <c r="I147" s="144"/>
      <c r="L147"/>
      <c r="M147" s="156"/>
    </row>
    <row r="148" spans="9:13">
      <c r="I148" s="144"/>
      <c r="L148"/>
      <c r="M148" s="156"/>
    </row>
    <row r="149" spans="9:13">
      <c r="I149" s="144"/>
      <c r="L149"/>
      <c r="M149" s="156"/>
    </row>
    <row r="150" spans="9:13">
      <c r="I150" s="144"/>
      <c r="L150"/>
      <c r="M150" s="156"/>
    </row>
    <row r="151" spans="9:13">
      <c r="I151" s="144"/>
      <c r="L151"/>
      <c r="M151" s="156"/>
    </row>
    <row r="152" spans="9:13">
      <c r="I152" s="144"/>
      <c r="L152"/>
      <c r="M152" s="156"/>
    </row>
    <row r="153" spans="9:13">
      <c r="I153" s="144"/>
      <c r="L153"/>
      <c r="M153" s="156"/>
    </row>
    <row r="154" spans="9:13">
      <c r="I154" s="144"/>
      <c r="L154"/>
      <c r="M154" s="156"/>
    </row>
    <row r="155" spans="9:13">
      <c r="I155" s="144"/>
      <c r="L155"/>
      <c r="M155" s="156"/>
    </row>
    <row r="156" spans="9:13">
      <c r="I156" s="144"/>
      <c r="L156"/>
      <c r="M156" s="156"/>
    </row>
    <row r="157" spans="9:13">
      <c r="I157" s="144"/>
      <c r="L157"/>
      <c r="M157" s="156"/>
    </row>
    <row r="158" spans="9:13">
      <c r="I158" s="144"/>
      <c r="L158"/>
      <c r="M158" s="156"/>
    </row>
    <row r="159" spans="9:13">
      <c r="I159" s="144"/>
      <c r="L159"/>
      <c r="M159" s="156"/>
    </row>
    <row r="160" spans="9:13">
      <c r="I160" s="144"/>
      <c r="L160"/>
      <c r="M160" s="156"/>
    </row>
    <row r="161" spans="9:13">
      <c r="I161" s="144"/>
      <c r="L161"/>
      <c r="M161" s="156"/>
    </row>
    <row r="162" spans="9:13">
      <c r="I162" s="144"/>
      <c r="L162"/>
      <c r="M162" s="156"/>
    </row>
    <row r="163" spans="9:13">
      <c r="I163" s="144"/>
      <c r="L163"/>
      <c r="M163" s="156"/>
    </row>
    <row r="164" spans="9:13">
      <c r="I164" s="144"/>
      <c r="L164"/>
      <c r="M164" s="156"/>
    </row>
    <row r="165" spans="9:13">
      <c r="I165" s="144"/>
      <c r="L165"/>
      <c r="M165" s="156"/>
    </row>
    <row r="166" spans="9:13">
      <c r="I166" s="144"/>
      <c r="L166"/>
      <c r="M166" s="156"/>
    </row>
    <row r="167" spans="9:13">
      <c r="I167" s="144"/>
      <c r="L167"/>
      <c r="M167" s="156"/>
    </row>
    <row r="168" spans="9:13">
      <c r="I168" s="144"/>
      <c r="L168"/>
      <c r="M168" s="156"/>
    </row>
    <row r="169" spans="9:13">
      <c r="I169" s="144"/>
      <c r="L169"/>
      <c r="M169" s="156"/>
    </row>
    <row r="170" spans="9:13">
      <c r="I170" s="144"/>
      <c r="L170"/>
      <c r="M170" s="156"/>
    </row>
    <row r="171" spans="9:13">
      <c r="I171" s="144"/>
      <c r="L171"/>
      <c r="M171" s="156"/>
    </row>
    <row r="172" spans="9:13">
      <c r="I172" s="144"/>
      <c r="L172"/>
      <c r="M172" s="156"/>
    </row>
    <row r="173" spans="9:13">
      <c r="I173" s="144"/>
      <c r="L173"/>
      <c r="M173" s="156"/>
    </row>
    <row r="174" spans="9:13">
      <c r="I174" s="144"/>
      <c r="L174"/>
      <c r="M174" s="156"/>
    </row>
    <row r="175" spans="9:13">
      <c r="I175" s="144"/>
      <c r="L175"/>
      <c r="M175" s="156"/>
    </row>
    <row r="176" spans="9:13">
      <c r="I176" s="144"/>
      <c r="L176"/>
      <c r="M176" s="156"/>
    </row>
    <row r="177" spans="9:13">
      <c r="I177" s="144"/>
      <c r="L177"/>
      <c r="M177" s="156"/>
    </row>
    <row r="178" spans="9:13">
      <c r="I178" s="144"/>
      <c r="L178"/>
      <c r="M178" s="156"/>
    </row>
    <row r="179" spans="9:13">
      <c r="I179" s="144"/>
      <c r="L179"/>
      <c r="M179" s="156"/>
    </row>
    <row r="180" spans="9:13">
      <c r="I180" s="144"/>
      <c r="L180"/>
      <c r="M180" s="156"/>
    </row>
    <row r="181" spans="9:13">
      <c r="I181" s="144"/>
      <c r="L181"/>
      <c r="M181" s="156"/>
    </row>
    <row r="182" spans="9:13">
      <c r="I182" s="144"/>
      <c r="L182"/>
      <c r="M182" s="156"/>
    </row>
    <row r="183" spans="9:13">
      <c r="I183" s="144"/>
      <c r="L183"/>
      <c r="M183" s="156"/>
    </row>
    <row r="184" spans="9:13">
      <c r="I184" s="144"/>
      <c r="L184"/>
      <c r="M184" s="156"/>
    </row>
    <row r="185" spans="9:13">
      <c r="I185" s="160"/>
      <c r="L185"/>
      <c r="M185" s="156"/>
    </row>
    <row r="186" spans="9:13">
      <c r="L186"/>
    </row>
    <row r="187" spans="9:13">
      <c r="L187"/>
    </row>
    <row r="188" spans="9:13">
      <c r="L188"/>
    </row>
    <row r="189" spans="9:13">
      <c r="L189"/>
    </row>
    <row r="190" spans="9:13">
      <c r="L190"/>
    </row>
    <row r="191" spans="9:13">
      <c r="L191"/>
    </row>
    <row r="192" spans="9:13">
      <c r="L192"/>
    </row>
    <row r="193" spans="12:12">
      <c r="L193"/>
    </row>
    <row r="194" spans="12:12">
      <c r="L194"/>
    </row>
    <row r="195" spans="12:12">
      <c r="L195"/>
    </row>
    <row r="196" spans="12:12">
      <c r="L196"/>
    </row>
  </sheetData>
  <conditionalFormatting pivot="1" sqref="B7:B9 B11:B12">
    <cfRule type="dataBar" priority="50">
      <dataBar>
        <cfvo type="min"/>
        <cfvo type="max"/>
        <color rgb="FF638EC6"/>
      </dataBar>
    </cfRule>
  </conditionalFormatting>
  <conditionalFormatting pivot="1">
    <cfRule type="dataBar" priority="49">
      <dataBar>
        <cfvo type="min"/>
        <cfvo type="max"/>
        <color rgb="FF638EC6"/>
      </dataBar>
    </cfRule>
  </conditionalFormatting>
  <conditionalFormatting pivot="1">
    <cfRule type="dataBar" priority="46">
      <dataBar>
        <cfvo type="min"/>
        <cfvo type="max"/>
        <color rgb="FF638EC6"/>
      </dataBar>
    </cfRule>
  </conditionalFormatting>
  <conditionalFormatting pivot="1" sqref="B28">
    <cfRule type="dataBar" priority="44">
      <dataBar>
        <cfvo type="min"/>
        <cfvo type="max"/>
        <color rgb="FF638EC6"/>
      </dataBar>
    </cfRule>
  </conditionalFormatting>
  <conditionalFormatting pivot="1" sqref="B28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{AB4A0F1A-562F-4A95-AD61-764A6982885F}</x14:id>
        </ext>
      </extLst>
    </cfRule>
  </conditionalFormatting>
  <conditionalFormatting pivot="1">
    <cfRule type="dataBar" priority="34">
      <dataBar>
        <cfvo type="min"/>
        <cfvo type="max"/>
        <color rgb="FF638EC6"/>
      </dataBar>
    </cfRule>
  </conditionalFormatting>
  <conditionalFormatting pivot="1" sqref="B44:B46">
    <cfRule type="dataBar" priority="32">
      <dataBar>
        <cfvo type="min"/>
        <cfvo type="max"/>
        <color rgb="FF638EC6"/>
      </dataBar>
    </cfRule>
  </conditionalFormatting>
  <conditionalFormatting pivot="1" sqref="B7:B12">
    <cfRule type="dataBar" priority="31">
      <dataBar>
        <cfvo type="min"/>
        <cfvo type="max"/>
        <color rgb="FF638EC6"/>
      </dataBar>
    </cfRule>
  </conditionalFormatting>
  <conditionalFormatting pivot="1" sqref="B7:B12">
    <cfRule type="dataBar" priority="27">
      <dataBar>
        <cfvo type="min"/>
        <cfvo type="max"/>
        <color rgb="FF638EC6"/>
      </dataBar>
    </cfRule>
  </conditionalFormatting>
  <conditionalFormatting pivot="1" sqref="K10:K15 K17 K19 K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{9EA848CE-5003-4A3D-9843-3074062A7B40}</x14:id>
        </ext>
      </extLst>
    </cfRule>
  </conditionalFormatting>
  <conditionalFormatting pivot="1" sqref="K10:K15 K17 K19 K21">
    <cfRule type="dataBar" priority="9">
      <dataBar>
        <cfvo type="min"/>
        <cfvo type="max"/>
        <color rgb="FF638EC6"/>
      </dataBar>
    </cfRule>
  </conditionalFormatting>
  <conditionalFormatting pivot="1" sqref="K10:K15 K17 K19 K21">
    <cfRule type="dataBar" priority="8">
      <dataBar>
        <cfvo type="min"/>
        <cfvo type="max"/>
        <color rgb="FF638EC6"/>
      </dataBar>
    </cfRule>
  </conditionalFormatting>
  <conditionalFormatting pivot="1" sqref="K10:K15 K17 K19 K21">
    <cfRule type="dataBar" priority="5">
      <dataBar>
        <cfvo type="min"/>
        <cfvo type="max"/>
        <color rgb="FF638EC6"/>
      </dataBar>
    </cfRule>
  </conditionalFormatting>
  <conditionalFormatting pivot="1" sqref="K14 K11">
    <cfRule type="dataBar" priority="6">
      <dataBar>
        <cfvo type="min"/>
        <cfvo type="max"/>
        <color rgb="FF638EC6"/>
      </dataBar>
    </cfRule>
  </conditionalFormatting>
  <conditionalFormatting pivot="1" sqref="K14 K11 K17:K18">
    <cfRule type="dataBar" priority="4">
      <dataBar>
        <cfvo type="min"/>
        <cfvo type="max"/>
        <color rgb="FF638EC6"/>
      </dataBar>
    </cfRule>
  </conditionalFormatting>
  <conditionalFormatting pivot="1" sqref="K14 K11 K17:K1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{162BCA58-476E-440A-9E40-CE2C5009E190}</x14:id>
        </ext>
      </extLst>
    </cfRule>
  </conditionalFormatting>
  <conditionalFormatting pivot="1" sqref="K9:K15 K17:K1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{3C6F3C78-B242-4A18-9220-EAA3A3012FAE}</x14:id>
        </ext>
      </extLst>
    </cfRule>
  </conditionalFormatting>
  <conditionalFormatting pivot="1" sqref="K9:K15 K17:K19 K21">
    <cfRule type="dataBar" priority="1">
      <dataBar>
        <cfvo type="min"/>
        <cfvo type="max"/>
        <color rgb="FF638EC6"/>
      </dataBar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55" orientation="portrait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B4A0F1A-562F-4A95-AD61-764A698288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 pivot="1">
          <x14:cfRule type="dataBar" id="{9EA848CE-5003-4A3D-9843-3074062A7B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K10:K15 K17 K19 K21</xm:sqref>
        </x14:conditionalFormatting>
        <x14:conditionalFormatting xmlns:xm="http://schemas.microsoft.com/office/excel/2006/main" pivot="1">
          <x14:cfRule type="dataBar" id="{162BCA58-476E-440A-9E40-CE2C5009E1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K14 K11 K17:K18</xm:sqref>
        </x14:conditionalFormatting>
        <x14:conditionalFormatting xmlns:xm="http://schemas.microsoft.com/office/excel/2006/main" pivot="1">
          <x14:cfRule type="dataBar" id="{3C6F3C78-B242-4A18-9220-EAA3A3012F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K9:K15 K17:K18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8"/>
  <sheetViews>
    <sheetView topLeftCell="M1" workbookViewId="0">
      <selection activeCell="N7" sqref="N7"/>
    </sheetView>
  </sheetViews>
  <sheetFormatPr defaultRowHeight="14.4"/>
  <cols>
    <col min="1" max="1" width="15.33203125" customWidth="1"/>
    <col min="2" max="2" width="11.88671875" style="148" customWidth="1"/>
    <col min="3" max="3" width="14.44140625" customWidth="1"/>
    <col min="8" max="8" width="15.44140625" customWidth="1"/>
    <col min="9" max="9" width="11.88671875" style="148" customWidth="1"/>
    <col min="10" max="10" width="14.44140625" bestFit="1" customWidth="1"/>
    <col min="14" max="14" width="12.88671875" customWidth="1"/>
    <col min="15" max="15" width="16.109375" customWidth="1"/>
    <col min="16" max="16" width="11.88671875" customWidth="1"/>
    <col min="17" max="17" width="14.44140625" customWidth="1"/>
    <col min="18" max="20" width="12.88671875" customWidth="1"/>
    <col min="21" max="21" width="16.109375" customWidth="1"/>
    <col min="22" max="22" width="14.44140625" customWidth="1"/>
    <col min="23" max="23" width="15.6640625" customWidth="1"/>
    <col min="24" max="30" width="9.6640625" bestFit="1" customWidth="1"/>
    <col min="31" max="36" width="8.6640625" customWidth="1"/>
    <col min="37" max="46" width="9.6640625" bestFit="1" customWidth="1"/>
    <col min="47" max="51" width="8.6640625" customWidth="1"/>
    <col min="52" max="65" width="9.6640625" bestFit="1" customWidth="1"/>
    <col min="66" max="70" width="8.6640625" customWidth="1"/>
    <col min="71" max="84" width="9.6640625" bestFit="1" customWidth="1"/>
    <col min="85" max="92" width="8.6640625" customWidth="1"/>
    <col min="93" max="110" width="9.6640625" bestFit="1" customWidth="1"/>
    <col min="111" max="113" width="8.6640625" customWidth="1"/>
    <col min="114" max="128" width="9.6640625" bestFit="1" customWidth="1"/>
    <col min="129" max="136" width="8.6640625" customWidth="1"/>
    <col min="137" max="147" width="9.6640625" bestFit="1" customWidth="1"/>
    <col min="148" max="148" width="7" customWidth="1"/>
    <col min="149" max="149" width="10.33203125" bestFit="1" customWidth="1"/>
  </cols>
  <sheetData>
    <row r="1" spans="1:22">
      <c r="A1" s="157" t="s">
        <v>326</v>
      </c>
      <c r="B1" s="170" t="s">
        <v>328</v>
      </c>
      <c r="H1" s="157" t="s">
        <v>326</v>
      </c>
      <c r="I1" s="170" t="s">
        <v>328</v>
      </c>
      <c r="N1" s="157" t="s">
        <v>1</v>
      </c>
      <c r="O1" s="170" t="s">
        <v>416</v>
      </c>
      <c r="T1" s="157" t="s">
        <v>1</v>
      </c>
      <c r="U1" s="170" t="s">
        <v>416</v>
      </c>
    </row>
    <row r="2" spans="1:22">
      <c r="N2" s="157" t="s">
        <v>324</v>
      </c>
      <c r="O2" s="170" t="s">
        <v>416</v>
      </c>
      <c r="T2" s="157" t="s">
        <v>324</v>
      </c>
      <c r="U2" s="170" t="s">
        <v>416</v>
      </c>
    </row>
    <row r="3" spans="1:22">
      <c r="B3" s="157" t="s">
        <v>322</v>
      </c>
      <c r="I3" s="157" t="s">
        <v>322</v>
      </c>
    </row>
    <row r="4" spans="1:22">
      <c r="A4" s="157" t="s">
        <v>415</v>
      </c>
      <c r="B4" s="170" t="s">
        <v>321</v>
      </c>
      <c r="C4" s="170" t="s">
        <v>323</v>
      </c>
      <c r="H4" s="157" t="s">
        <v>415</v>
      </c>
      <c r="I4" s="170" t="s">
        <v>321</v>
      </c>
      <c r="J4" s="170" t="s">
        <v>323</v>
      </c>
      <c r="O4" s="157" t="s">
        <v>322</v>
      </c>
      <c r="U4" s="157" t="s">
        <v>322</v>
      </c>
    </row>
    <row r="5" spans="1:22">
      <c r="A5" s="145">
        <v>2014</v>
      </c>
      <c r="B5" s="156">
        <v>5460776.1200000001</v>
      </c>
      <c r="C5" s="156">
        <v>14.5</v>
      </c>
      <c r="H5" s="145">
        <v>2014</v>
      </c>
      <c r="I5" s="156">
        <v>5460776.1200000001</v>
      </c>
      <c r="J5" s="156">
        <v>14.5</v>
      </c>
      <c r="N5" s="157" t="s">
        <v>415</v>
      </c>
      <c r="O5" s="170" t="s">
        <v>355</v>
      </c>
      <c r="P5" s="170" t="s">
        <v>321</v>
      </c>
      <c r="Q5" s="170" t="s">
        <v>323</v>
      </c>
      <c r="T5" s="157" t="s">
        <v>415</v>
      </c>
      <c r="U5" s="170" t="s">
        <v>321</v>
      </c>
      <c r="V5" s="170" t="s">
        <v>323</v>
      </c>
    </row>
    <row r="6" spans="1:22">
      <c r="A6" s="147">
        <v>2</v>
      </c>
      <c r="B6" s="156">
        <v>5460776.1200000001</v>
      </c>
      <c r="C6" s="156">
        <v>14.5</v>
      </c>
      <c r="H6" s="147">
        <v>2</v>
      </c>
      <c r="I6" s="156">
        <v>5460776.1200000001</v>
      </c>
      <c r="J6" s="156">
        <v>14.5</v>
      </c>
      <c r="N6" s="160" t="s">
        <v>413</v>
      </c>
      <c r="O6" s="161"/>
      <c r="P6" s="161"/>
      <c r="Q6" s="161"/>
      <c r="T6" s="160" t="s">
        <v>413</v>
      </c>
      <c r="U6" s="161"/>
      <c r="V6" s="156"/>
    </row>
    <row r="7" spans="1:22">
      <c r="A7" s="146" t="s">
        <v>24</v>
      </c>
      <c r="B7" s="156">
        <v>126350</v>
      </c>
      <c r="C7" s="156">
        <v>0.5</v>
      </c>
      <c r="H7" s="146" t="s">
        <v>283</v>
      </c>
      <c r="I7" s="156">
        <v>771737</v>
      </c>
      <c r="J7" s="156">
        <v>2</v>
      </c>
    </row>
    <row r="8" spans="1:22">
      <c r="A8" s="146" t="s">
        <v>61</v>
      </c>
      <c r="B8" s="156">
        <v>483529.12</v>
      </c>
      <c r="C8" s="156">
        <v>1</v>
      </c>
      <c r="H8" s="146" t="s">
        <v>307</v>
      </c>
      <c r="I8" s="156">
        <v>126350</v>
      </c>
      <c r="J8" s="156">
        <v>0.5</v>
      </c>
    </row>
    <row r="9" spans="1:22">
      <c r="A9" s="146" t="s">
        <v>25</v>
      </c>
      <c r="B9" s="156">
        <v>345960</v>
      </c>
      <c r="C9" s="156">
        <v>1</v>
      </c>
      <c r="H9" s="146" t="s">
        <v>148</v>
      </c>
      <c r="I9" s="156">
        <v>240000</v>
      </c>
      <c r="J9" s="156">
        <v>1</v>
      </c>
    </row>
    <row r="10" spans="1:22">
      <c r="A10" s="146" t="s">
        <v>26</v>
      </c>
      <c r="B10" s="156">
        <v>3044537</v>
      </c>
      <c r="C10" s="156">
        <v>8</v>
      </c>
      <c r="H10" s="146" t="s">
        <v>56</v>
      </c>
      <c r="I10" s="156">
        <v>350300</v>
      </c>
      <c r="J10" s="156">
        <v>1</v>
      </c>
    </row>
    <row r="11" spans="1:22">
      <c r="A11" s="146" t="s">
        <v>27</v>
      </c>
      <c r="B11" s="156">
        <v>981000</v>
      </c>
      <c r="C11" s="156">
        <v>3</v>
      </c>
      <c r="H11" s="146" t="s">
        <v>19</v>
      </c>
      <c r="I11" s="156">
        <v>435300</v>
      </c>
      <c r="J11" s="156">
        <v>2</v>
      </c>
    </row>
    <row r="12" spans="1:22">
      <c r="A12" s="146" t="s">
        <v>369</v>
      </c>
      <c r="B12" s="156">
        <v>479400</v>
      </c>
      <c r="C12" s="156">
        <v>1</v>
      </c>
      <c r="H12" s="146" t="s">
        <v>277</v>
      </c>
      <c r="I12" s="156">
        <v>239700</v>
      </c>
      <c r="J12" s="156">
        <v>0.5</v>
      </c>
    </row>
    <row r="13" spans="1:22">
      <c r="A13" s="145" t="s">
        <v>413</v>
      </c>
      <c r="B13" s="161">
        <v>5460776.1200000001</v>
      </c>
      <c r="C13" s="156">
        <v>14.5</v>
      </c>
      <c r="H13" s="146" t="s">
        <v>309</v>
      </c>
      <c r="I13" s="156">
        <v>659000</v>
      </c>
      <c r="J13" s="156">
        <v>1</v>
      </c>
    </row>
    <row r="14" spans="1:22">
      <c r="B14"/>
      <c r="H14" s="146" t="s">
        <v>275</v>
      </c>
      <c r="I14" s="156">
        <v>545700</v>
      </c>
      <c r="J14" s="156">
        <v>1</v>
      </c>
    </row>
    <row r="15" spans="1:22">
      <c r="B15"/>
      <c r="H15" s="146" t="s">
        <v>310</v>
      </c>
      <c r="I15" s="156">
        <v>483529.12</v>
      </c>
      <c r="J15" s="156">
        <v>1</v>
      </c>
    </row>
    <row r="16" spans="1:22">
      <c r="B16"/>
      <c r="H16" s="146" t="s">
        <v>404</v>
      </c>
      <c r="I16" s="156">
        <v>239700</v>
      </c>
      <c r="J16" s="156">
        <v>0.5</v>
      </c>
    </row>
    <row r="17" spans="2:10">
      <c r="B17"/>
      <c r="H17" s="146" t="s">
        <v>412</v>
      </c>
      <c r="I17" s="156">
        <v>813500</v>
      </c>
      <c r="J17" s="156">
        <v>2</v>
      </c>
    </row>
    <row r="18" spans="2:10">
      <c r="B18"/>
      <c r="H18" s="146" t="s">
        <v>417</v>
      </c>
      <c r="I18" s="156">
        <v>345960</v>
      </c>
      <c r="J18" s="156">
        <v>1</v>
      </c>
    </row>
    <row r="19" spans="2:10">
      <c r="B19"/>
      <c r="H19" s="146" t="s">
        <v>418</v>
      </c>
      <c r="I19" s="156">
        <v>210000</v>
      </c>
      <c r="J19" s="156">
        <v>1</v>
      </c>
    </row>
    <row r="20" spans="2:10">
      <c r="B20"/>
      <c r="H20" s="145" t="s">
        <v>413</v>
      </c>
      <c r="I20" s="156">
        <v>5460776.1200000001</v>
      </c>
      <c r="J20" s="156">
        <v>14.5</v>
      </c>
    </row>
    <row r="21" spans="2:10">
      <c r="B21"/>
      <c r="I21"/>
    </row>
    <row r="22" spans="2:10">
      <c r="B22"/>
      <c r="I22"/>
    </row>
    <row r="23" spans="2:10">
      <c r="B23"/>
      <c r="I23"/>
    </row>
    <row r="24" spans="2:10">
      <c r="B24"/>
      <c r="I24"/>
    </row>
    <row r="25" spans="2:10">
      <c r="B25"/>
      <c r="I25"/>
    </row>
    <row r="26" spans="2:10">
      <c r="B26"/>
      <c r="I26"/>
    </row>
    <row r="27" spans="2:10">
      <c r="B27"/>
      <c r="I27"/>
    </row>
    <row r="28" spans="2:10">
      <c r="B28"/>
      <c r="I28"/>
    </row>
    <row r="29" spans="2:10">
      <c r="B29"/>
      <c r="I29"/>
    </row>
    <row r="30" spans="2:10">
      <c r="B30"/>
      <c r="I30"/>
    </row>
    <row r="31" spans="2:10">
      <c r="B31"/>
      <c r="I31"/>
    </row>
    <row r="32" spans="2:10">
      <c r="B32"/>
      <c r="I32"/>
    </row>
    <row r="33" spans="2:9">
      <c r="B33"/>
      <c r="I33"/>
    </row>
    <row r="34" spans="2:9">
      <c r="B34"/>
      <c r="I34"/>
    </row>
    <row r="35" spans="2:9">
      <c r="B35"/>
      <c r="I35"/>
    </row>
    <row r="36" spans="2:9">
      <c r="B36"/>
      <c r="I36"/>
    </row>
    <row r="37" spans="2:9">
      <c r="B37"/>
      <c r="I37"/>
    </row>
    <row r="38" spans="2:9">
      <c r="B38"/>
      <c r="I38"/>
    </row>
    <row r="39" spans="2:9">
      <c r="B39"/>
      <c r="I39"/>
    </row>
    <row r="40" spans="2:9">
      <c r="B40"/>
      <c r="I40"/>
    </row>
    <row r="41" spans="2:9">
      <c r="B41"/>
      <c r="I41"/>
    </row>
    <row r="42" spans="2:9">
      <c r="B42"/>
      <c r="I42"/>
    </row>
    <row r="43" spans="2:9">
      <c r="B43"/>
      <c r="I43"/>
    </row>
    <row r="44" spans="2:9">
      <c r="B44"/>
      <c r="I44"/>
    </row>
    <row r="45" spans="2:9">
      <c r="B45"/>
      <c r="I45"/>
    </row>
    <row r="46" spans="2:9">
      <c r="B46"/>
      <c r="I46"/>
    </row>
    <row r="47" spans="2:9">
      <c r="B47"/>
      <c r="I47"/>
    </row>
    <row r="48" spans="2:9">
      <c r="B48"/>
      <c r="I48"/>
    </row>
    <row r="49" spans="2:9">
      <c r="B49"/>
      <c r="I49"/>
    </row>
    <row r="50" spans="2:9">
      <c r="B50"/>
      <c r="I50"/>
    </row>
    <row r="51" spans="2:9">
      <c r="B51"/>
      <c r="I51"/>
    </row>
    <row r="52" spans="2:9">
      <c r="B52"/>
      <c r="I52"/>
    </row>
    <row r="53" spans="2:9">
      <c r="B53"/>
      <c r="I53"/>
    </row>
    <row r="54" spans="2:9">
      <c r="B54"/>
      <c r="I54"/>
    </row>
    <row r="55" spans="2:9">
      <c r="B55"/>
      <c r="I55"/>
    </row>
    <row r="56" spans="2:9">
      <c r="B56"/>
      <c r="I56"/>
    </row>
    <row r="57" spans="2:9">
      <c r="B57"/>
      <c r="I57"/>
    </row>
    <row r="58" spans="2:9">
      <c r="B58"/>
      <c r="I58"/>
    </row>
    <row r="59" spans="2:9">
      <c r="B59"/>
      <c r="I59"/>
    </row>
    <row r="60" spans="2:9">
      <c r="B60"/>
      <c r="I60"/>
    </row>
    <row r="61" spans="2:9">
      <c r="B61"/>
      <c r="I61"/>
    </row>
    <row r="62" spans="2:9">
      <c r="B62"/>
      <c r="I62"/>
    </row>
    <row r="63" spans="2:9">
      <c r="B63"/>
      <c r="I63"/>
    </row>
    <row r="64" spans="2:9">
      <c r="B64"/>
      <c r="I64"/>
    </row>
    <row r="65" spans="2:9">
      <c r="B65"/>
      <c r="I65"/>
    </row>
    <row r="66" spans="2:9">
      <c r="B66"/>
      <c r="I66"/>
    </row>
    <row r="67" spans="2:9">
      <c r="B67"/>
      <c r="I67"/>
    </row>
    <row r="68" spans="2:9">
      <c r="B68"/>
      <c r="I68"/>
    </row>
    <row r="69" spans="2:9">
      <c r="B69"/>
      <c r="I69"/>
    </row>
    <row r="70" spans="2:9">
      <c r="B70"/>
      <c r="I70"/>
    </row>
    <row r="71" spans="2:9">
      <c r="B71"/>
      <c r="I71"/>
    </row>
    <row r="72" spans="2:9">
      <c r="B72"/>
      <c r="I72"/>
    </row>
    <row r="73" spans="2:9">
      <c r="B73"/>
      <c r="I73"/>
    </row>
    <row r="74" spans="2:9">
      <c r="B74"/>
      <c r="I74"/>
    </row>
    <row r="75" spans="2:9">
      <c r="B75"/>
      <c r="I75"/>
    </row>
    <row r="76" spans="2:9">
      <c r="B76"/>
      <c r="I76"/>
    </row>
    <row r="77" spans="2:9">
      <c r="B77"/>
      <c r="I77"/>
    </row>
    <row r="78" spans="2:9">
      <c r="B78"/>
      <c r="I78"/>
    </row>
    <row r="79" spans="2:9">
      <c r="B79"/>
      <c r="I79"/>
    </row>
    <row r="80" spans="2:9">
      <c r="B80"/>
      <c r="I80"/>
    </row>
    <row r="81" spans="2:9">
      <c r="B81"/>
      <c r="I81"/>
    </row>
    <row r="82" spans="2:9">
      <c r="B82"/>
      <c r="I82"/>
    </row>
    <row r="83" spans="2:9">
      <c r="B83"/>
      <c r="I83"/>
    </row>
    <row r="84" spans="2:9">
      <c r="B84"/>
      <c r="I84"/>
    </row>
    <row r="85" spans="2:9">
      <c r="B85"/>
      <c r="I85"/>
    </row>
    <row r="86" spans="2:9">
      <c r="B86"/>
      <c r="I86"/>
    </row>
    <row r="87" spans="2:9">
      <c r="B87"/>
      <c r="I87"/>
    </row>
    <row r="88" spans="2:9">
      <c r="B88"/>
      <c r="I88"/>
    </row>
    <row r="89" spans="2:9">
      <c r="B89"/>
      <c r="I89"/>
    </row>
    <row r="90" spans="2:9">
      <c r="B90"/>
      <c r="I90"/>
    </row>
    <row r="91" spans="2:9">
      <c r="B91"/>
      <c r="I91"/>
    </row>
    <row r="92" spans="2:9">
      <c r="B92"/>
      <c r="I92"/>
    </row>
    <row r="93" spans="2:9">
      <c r="B93"/>
      <c r="I93"/>
    </row>
    <row r="94" spans="2:9">
      <c r="B94"/>
      <c r="I94"/>
    </row>
    <row r="95" spans="2:9">
      <c r="B95"/>
      <c r="I95"/>
    </row>
    <row r="96" spans="2:9">
      <c r="B96"/>
      <c r="I96"/>
    </row>
    <row r="97" spans="2:9">
      <c r="B97"/>
      <c r="I97"/>
    </row>
    <row r="98" spans="2:9">
      <c r="B98"/>
      <c r="I98"/>
    </row>
    <row r="99" spans="2:9">
      <c r="B99"/>
      <c r="I99"/>
    </row>
    <row r="100" spans="2:9">
      <c r="B100"/>
      <c r="I100"/>
    </row>
    <row r="101" spans="2:9">
      <c r="B101"/>
      <c r="I101"/>
    </row>
    <row r="102" spans="2:9">
      <c r="B102"/>
      <c r="I102"/>
    </row>
    <row r="103" spans="2:9">
      <c r="B103"/>
      <c r="I103"/>
    </row>
    <row r="104" spans="2:9">
      <c r="B104"/>
      <c r="I104"/>
    </row>
    <row r="105" spans="2:9">
      <c r="B105"/>
      <c r="I105"/>
    </row>
    <row r="106" spans="2:9">
      <c r="B106"/>
      <c r="I106"/>
    </row>
    <row r="107" spans="2:9">
      <c r="B107"/>
      <c r="I107"/>
    </row>
    <row r="108" spans="2:9">
      <c r="B108"/>
      <c r="I108"/>
    </row>
    <row r="109" spans="2:9">
      <c r="B109"/>
      <c r="I109"/>
    </row>
    <row r="110" spans="2:9">
      <c r="B110"/>
      <c r="I110"/>
    </row>
    <row r="111" spans="2:9">
      <c r="B111"/>
      <c r="I111"/>
    </row>
    <row r="112" spans="2:9">
      <c r="B112"/>
      <c r="I112"/>
    </row>
    <row r="113" spans="2:9">
      <c r="B113"/>
      <c r="I113"/>
    </row>
    <row r="114" spans="2:9">
      <c r="B114"/>
      <c r="I114"/>
    </row>
    <row r="115" spans="2:9">
      <c r="B115"/>
      <c r="I115"/>
    </row>
    <row r="116" spans="2:9">
      <c r="B116"/>
      <c r="I116"/>
    </row>
    <row r="117" spans="2:9">
      <c r="B117"/>
      <c r="I117"/>
    </row>
    <row r="118" spans="2:9">
      <c r="B118"/>
      <c r="I118"/>
    </row>
    <row r="119" spans="2:9">
      <c r="I119"/>
    </row>
    <row r="120" spans="2:9">
      <c r="I120"/>
    </row>
    <row r="121" spans="2:9">
      <c r="I121"/>
    </row>
    <row r="122" spans="2:9">
      <c r="I122"/>
    </row>
    <row r="123" spans="2:9">
      <c r="I123"/>
    </row>
    <row r="124" spans="2:9">
      <c r="I124"/>
    </row>
    <row r="125" spans="2:9">
      <c r="I125"/>
    </row>
    <row r="126" spans="2:9">
      <c r="I126"/>
    </row>
    <row r="127" spans="2:9">
      <c r="I127"/>
    </row>
    <row r="128" spans="2:9">
      <c r="I128"/>
    </row>
    <row r="129" spans="9:9">
      <c r="I129"/>
    </row>
    <row r="130" spans="9:9">
      <c r="I130"/>
    </row>
    <row r="131" spans="9:9">
      <c r="I131"/>
    </row>
    <row r="132" spans="9:9">
      <c r="I132"/>
    </row>
    <row r="133" spans="9:9">
      <c r="I133"/>
    </row>
    <row r="134" spans="9:9">
      <c r="I134"/>
    </row>
    <row r="135" spans="9:9">
      <c r="I135"/>
    </row>
    <row r="136" spans="9:9">
      <c r="I136"/>
    </row>
    <row r="137" spans="9:9">
      <c r="I137"/>
    </row>
    <row r="138" spans="9:9">
      <c r="I138"/>
    </row>
    <row r="139" spans="9:9">
      <c r="I139"/>
    </row>
    <row r="140" spans="9:9">
      <c r="I140"/>
    </row>
    <row r="141" spans="9:9">
      <c r="I141"/>
    </row>
    <row r="142" spans="9:9">
      <c r="I142"/>
    </row>
    <row r="143" spans="9:9">
      <c r="I143"/>
    </row>
    <row r="144" spans="9:9">
      <c r="I144"/>
    </row>
    <row r="145" spans="9:9">
      <c r="I145"/>
    </row>
    <row r="146" spans="9:9">
      <c r="I146"/>
    </row>
    <row r="147" spans="9:9">
      <c r="I147"/>
    </row>
    <row r="148" spans="9:9">
      <c r="I148"/>
    </row>
    <row r="149" spans="9:9">
      <c r="I149"/>
    </row>
    <row r="150" spans="9:9">
      <c r="I150"/>
    </row>
    <row r="151" spans="9:9">
      <c r="I151"/>
    </row>
    <row r="152" spans="9:9">
      <c r="I152"/>
    </row>
    <row r="153" spans="9:9">
      <c r="I153"/>
    </row>
    <row r="154" spans="9:9">
      <c r="I154"/>
    </row>
    <row r="155" spans="9:9">
      <c r="I155"/>
    </row>
    <row r="156" spans="9:9">
      <c r="I156"/>
    </row>
    <row r="157" spans="9:9">
      <c r="I157"/>
    </row>
    <row r="158" spans="9:9">
      <c r="I158"/>
    </row>
    <row r="159" spans="9:9">
      <c r="I159"/>
    </row>
    <row r="160" spans="9:9">
      <c r="I160"/>
    </row>
    <row r="161" spans="9:9">
      <c r="I161"/>
    </row>
    <row r="162" spans="9:9">
      <c r="I162"/>
    </row>
    <row r="163" spans="9:9">
      <c r="I163"/>
    </row>
    <row r="164" spans="9:9">
      <c r="I164"/>
    </row>
    <row r="165" spans="9:9">
      <c r="I165"/>
    </row>
    <row r="166" spans="9:9">
      <c r="I166"/>
    </row>
    <row r="167" spans="9:9">
      <c r="I167"/>
    </row>
    <row r="168" spans="9:9">
      <c r="I168"/>
    </row>
    <row r="169" spans="9:9">
      <c r="I169"/>
    </row>
    <row r="170" spans="9:9">
      <c r="I170"/>
    </row>
    <row r="171" spans="9:9">
      <c r="I171"/>
    </row>
    <row r="172" spans="9:9">
      <c r="I172"/>
    </row>
    <row r="173" spans="9:9">
      <c r="I173"/>
    </row>
    <row r="174" spans="9:9">
      <c r="I174"/>
    </row>
    <row r="175" spans="9:9">
      <c r="I175"/>
    </row>
    <row r="176" spans="9:9">
      <c r="I176"/>
    </row>
    <row r="177" spans="9:9">
      <c r="I177"/>
    </row>
    <row r="178" spans="9:9">
      <c r="I178"/>
    </row>
    <row r="179" spans="9:9">
      <c r="I179"/>
    </row>
    <row r="180" spans="9:9">
      <c r="I180"/>
    </row>
    <row r="181" spans="9:9">
      <c r="I181"/>
    </row>
    <row r="182" spans="9:9">
      <c r="I182"/>
    </row>
    <row r="183" spans="9:9">
      <c r="I183"/>
    </row>
    <row r="184" spans="9:9">
      <c r="I184"/>
    </row>
    <row r="185" spans="9:9">
      <c r="I185"/>
    </row>
    <row r="186" spans="9:9">
      <c r="I186"/>
    </row>
    <row r="187" spans="9:9">
      <c r="I187"/>
    </row>
    <row r="188" spans="9:9">
      <c r="I188"/>
    </row>
    <row r="189" spans="9:9">
      <c r="I189"/>
    </row>
    <row r="190" spans="9:9">
      <c r="I190"/>
    </row>
    <row r="191" spans="9:9">
      <c r="I191"/>
    </row>
    <row r="192" spans="9:9">
      <c r="I192"/>
    </row>
    <row r="193" spans="9:9">
      <c r="I193"/>
    </row>
    <row r="194" spans="9:9">
      <c r="I194"/>
    </row>
    <row r="195" spans="9:9">
      <c r="I195"/>
    </row>
    <row r="196" spans="9:9">
      <c r="I196"/>
    </row>
    <row r="197" spans="9:9">
      <c r="I197"/>
    </row>
    <row r="198" spans="9:9">
      <c r="I198"/>
    </row>
    <row r="199" spans="9:9">
      <c r="I199"/>
    </row>
    <row r="200" spans="9:9">
      <c r="I200"/>
    </row>
    <row r="201" spans="9:9">
      <c r="I201"/>
    </row>
    <row r="202" spans="9:9">
      <c r="I202"/>
    </row>
    <row r="203" spans="9:9">
      <c r="I203"/>
    </row>
    <row r="204" spans="9:9">
      <c r="I204"/>
    </row>
    <row r="205" spans="9:9">
      <c r="I205"/>
    </row>
    <row r="206" spans="9:9">
      <c r="I206"/>
    </row>
    <row r="207" spans="9:9">
      <c r="I207"/>
    </row>
    <row r="208" spans="9:9">
      <c r="I208"/>
    </row>
    <row r="209" spans="9:9">
      <c r="I209"/>
    </row>
    <row r="210" spans="9:9">
      <c r="I210"/>
    </row>
    <row r="211" spans="9:9">
      <c r="I211"/>
    </row>
    <row r="212" spans="9:9">
      <c r="I212"/>
    </row>
    <row r="213" spans="9:9">
      <c r="I213"/>
    </row>
    <row r="214" spans="9:9">
      <c r="I214"/>
    </row>
    <row r="215" spans="9:9">
      <c r="I215"/>
    </row>
    <row r="216" spans="9:9">
      <c r="I216"/>
    </row>
    <row r="217" spans="9:9">
      <c r="I217"/>
    </row>
    <row r="218" spans="9:9">
      <c r="I218"/>
    </row>
    <row r="219" spans="9:9">
      <c r="I219"/>
    </row>
    <row r="220" spans="9:9">
      <c r="I220"/>
    </row>
    <row r="221" spans="9:9">
      <c r="I221"/>
    </row>
    <row r="222" spans="9:9">
      <c r="I222"/>
    </row>
    <row r="223" spans="9:9">
      <c r="I223"/>
    </row>
    <row r="224" spans="9:9">
      <c r="I224"/>
    </row>
    <row r="225" spans="9:9">
      <c r="I225"/>
    </row>
    <row r="226" spans="9:9">
      <c r="I226"/>
    </row>
    <row r="227" spans="9:9">
      <c r="I227"/>
    </row>
    <row r="228" spans="9:9">
      <c r="I228"/>
    </row>
    <row r="229" spans="9:9">
      <c r="I229"/>
    </row>
    <row r="230" spans="9:9">
      <c r="I230"/>
    </row>
    <row r="231" spans="9:9">
      <c r="I231"/>
    </row>
    <row r="232" spans="9:9">
      <c r="I232"/>
    </row>
    <row r="233" spans="9:9">
      <c r="I233"/>
    </row>
    <row r="234" spans="9:9">
      <c r="I234"/>
    </row>
    <row r="235" spans="9:9">
      <c r="I235"/>
    </row>
    <row r="236" spans="9:9">
      <c r="I236"/>
    </row>
    <row r="237" spans="9:9">
      <c r="I237"/>
    </row>
    <row r="238" spans="9:9">
      <c r="I238"/>
    </row>
    <row r="239" spans="9:9">
      <c r="I239"/>
    </row>
    <row r="240" spans="9:9">
      <c r="I240"/>
    </row>
    <row r="241" spans="9:9">
      <c r="I241"/>
    </row>
    <row r="242" spans="9:9">
      <c r="I242"/>
    </row>
    <row r="243" spans="9:9">
      <c r="I243"/>
    </row>
    <row r="244" spans="9:9">
      <c r="I244"/>
    </row>
    <row r="245" spans="9:9">
      <c r="I245"/>
    </row>
    <row r="246" spans="9:9">
      <c r="I246"/>
    </row>
    <row r="247" spans="9:9">
      <c r="I247"/>
    </row>
    <row r="248" spans="9:9">
      <c r="I248"/>
    </row>
    <row r="249" spans="9:9">
      <c r="I249"/>
    </row>
    <row r="250" spans="9:9">
      <c r="I250"/>
    </row>
    <row r="251" spans="9:9">
      <c r="I251"/>
    </row>
    <row r="252" spans="9:9">
      <c r="I252"/>
    </row>
    <row r="253" spans="9:9">
      <c r="I253"/>
    </row>
    <row r="254" spans="9:9">
      <c r="I254"/>
    </row>
    <row r="255" spans="9:9">
      <c r="I255"/>
    </row>
    <row r="256" spans="9:9">
      <c r="I256"/>
    </row>
    <row r="257" spans="9:9">
      <c r="I257"/>
    </row>
    <row r="258" spans="9:9">
      <c r="I258"/>
    </row>
    <row r="259" spans="9:9">
      <c r="I259"/>
    </row>
    <row r="260" spans="9:9">
      <c r="I260"/>
    </row>
    <row r="261" spans="9:9">
      <c r="I261"/>
    </row>
    <row r="262" spans="9:9">
      <c r="I262"/>
    </row>
    <row r="263" spans="9:9">
      <c r="I263"/>
    </row>
    <row r="264" spans="9:9">
      <c r="I264"/>
    </row>
    <row r="265" spans="9:9">
      <c r="I265"/>
    </row>
    <row r="266" spans="9:9">
      <c r="I266"/>
    </row>
    <row r="267" spans="9:9">
      <c r="I267"/>
    </row>
    <row r="268" spans="9:9">
      <c r="I268"/>
    </row>
    <row r="269" spans="9:9">
      <c r="I269"/>
    </row>
    <row r="270" spans="9:9">
      <c r="I270"/>
    </row>
    <row r="271" spans="9:9">
      <c r="I271"/>
    </row>
    <row r="272" spans="9:9">
      <c r="I272"/>
    </row>
    <row r="273" spans="9:9">
      <c r="I273"/>
    </row>
    <row r="274" spans="9:9">
      <c r="I274"/>
    </row>
    <row r="275" spans="9:9">
      <c r="I275"/>
    </row>
    <row r="276" spans="9:9">
      <c r="I276"/>
    </row>
    <row r="277" spans="9:9">
      <c r="I277"/>
    </row>
    <row r="278" spans="9:9">
      <c r="I278"/>
    </row>
    <row r="279" spans="9:9">
      <c r="I279"/>
    </row>
    <row r="280" spans="9:9">
      <c r="I280"/>
    </row>
    <row r="281" spans="9:9">
      <c r="I281"/>
    </row>
    <row r="282" spans="9:9">
      <c r="I282"/>
    </row>
    <row r="283" spans="9:9">
      <c r="I283"/>
    </row>
    <row r="284" spans="9:9">
      <c r="I284"/>
    </row>
    <row r="285" spans="9:9">
      <c r="I285"/>
    </row>
    <row r="286" spans="9:9">
      <c r="I286"/>
    </row>
    <row r="287" spans="9:9">
      <c r="I287"/>
    </row>
    <row r="288" spans="9:9">
      <c r="I288"/>
    </row>
    <row r="289" spans="9:9">
      <c r="I289"/>
    </row>
    <row r="290" spans="9:9">
      <c r="I290"/>
    </row>
    <row r="291" spans="9:9">
      <c r="I291"/>
    </row>
    <row r="292" spans="9:9">
      <c r="I292"/>
    </row>
    <row r="293" spans="9:9">
      <c r="I293"/>
    </row>
    <row r="294" spans="9:9">
      <c r="I294"/>
    </row>
    <row r="295" spans="9:9">
      <c r="I295"/>
    </row>
    <row r="296" spans="9:9">
      <c r="I296"/>
    </row>
    <row r="297" spans="9:9">
      <c r="I297"/>
    </row>
    <row r="298" spans="9:9">
      <c r="I298"/>
    </row>
    <row r="299" spans="9:9">
      <c r="I299"/>
    </row>
    <row r="300" spans="9:9">
      <c r="I300"/>
    </row>
    <row r="301" spans="9:9">
      <c r="I301"/>
    </row>
    <row r="302" spans="9:9">
      <c r="I302"/>
    </row>
    <row r="303" spans="9:9">
      <c r="I303"/>
    </row>
    <row r="304" spans="9:9">
      <c r="I304"/>
    </row>
    <row r="305" spans="9:9">
      <c r="I305"/>
    </row>
    <row r="306" spans="9:9">
      <c r="I306"/>
    </row>
    <row r="307" spans="9:9">
      <c r="I307"/>
    </row>
    <row r="308" spans="9:9">
      <c r="I308"/>
    </row>
    <row r="309" spans="9:9">
      <c r="I309"/>
    </row>
    <row r="310" spans="9:9">
      <c r="I310"/>
    </row>
    <row r="311" spans="9:9">
      <c r="I311"/>
    </row>
    <row r="312" spans="9:9">
      <c r="I312"/>
    </row>
    <row r="313" spans="9:9">
      <c r="I313"/>
    </row>
    <row r="314" spans="9:9">
      <c r="I314"/>
    </row>
    <row r="315" spans="9:9">
      <c r="I315"/>
    </row>
    <row r="316" spans="9:9">
      <c r="I316"/>
    </row>
    <row r="317" spans="9:9">
      <c r="I317"/>
    </row>
    <row r="318" spans="9:9">
      <c r="I318"/>
    </row>
    <row r="319" spans="9:9">
      <c r="I319"/>
    </row>
    <row r="320" spans="9:9">
      <c r="I320"/>
    </row>
    <row r="321" spans="9:9">
      <c r="I321"/>
    </row>
    <row r="322" spans="9:9">
      <c r="I322"/>
    </row>
    <row r="323" spans="9:9">
      <c r="I323"/>
    </row>
    <row r="324" spans="9:9">
      <c r="I324"/>
    </row>
    <row r="325" spans="9:9">
      <c r="I325"/>
    </row>
    <row r="326" spans="9:9">
      <c r="I326"/>
    </row>
    <row r="327" spans="9:9">
      <c r="I327"/>
    </row>
    <row r="328" spans="9:9">
      <c r="I328"/>
    </row>
    <row r="329" spans="9:9">
      <c r="I329"/>
    </row>
    <row r="330" spans="9:9">
      <c r="I330"/>
    </row>
    <row r="331" spans="9:9">
      <c r="I331"/>
    </row>
    <row r="332" spans="9:9">
      <c r="I332"/>
    </row>
    <row r="333" spans="9:9">
      <c r="I333"/>
    </row>
    <row r="334" spans="9:9">
      <c r="I334"/>
    </row>
    <row r="335" spans="9:9">
      <c r="I335"/>
    </row>
    <row r="336" spans="9:9">
      <c r="I336"/>
    </row>
    <row r="337" spans="9:9">
      <c r="I337"/>
    </row>
    <row r="338" spans="9:9">
      <c r="I338"/>
    </row>
    <row r="339" spans="9:9">
      <c r="I339"/>
    </row>
    <row r="340" spans="9:9">
      <c r="I340"/>
    </row>
    <row r="341" spans="9:9">
      <c r="I341"/>
    </row>
    <row r="342" spans="9:9">
      <c r="I342"/>
    </row>
    <row r="343" spans="9:9">
      <c r="I343"/>
    </row>
    <row r="344" spans="9:9">
      <c r="I344"/>
    </row>
    <row r="345" spans="9:9">
      <c r="I345"/>
    </row>
    <row r="346" spans="9:9">
      <c r="I346"/>
    </row>
    <row r="347" spans="9:9">
      <c r="I347"/>
    </row>
    <row r="348" spans="9:9">
      <c r="I348"/>
    </row>
    <row r="349" spans="9:9">
      <c r="I349"/>
    </row>
    <row r="350" spans="9:9">
      <c r="I350"/>
    </row>
    <row r="351" spans="9:9">
      <c r="I351"/>
    </row>
    <row r="352" spans="9:9">
      <c r="I352"/>
    </row>
    <row r="353" spans="9:9">
      <c r="I353"/>
    </row>
    <row r="354" spans="9:9">
      <c r="I354"/>
    </row>
    <row r="355" spans="9:9">
      <c r="I355"/>
    </row>
    <row r="356" spans="9:9">
      <c r="I356"/>
    </row>
    <row r="357" spans="9:9">
      <c r="I357"/>
    </row>
    <row r="358" spans="9:9">
      <c r="I358"/>
    </row>
    <row r="359" spans="9:9">
      <c r="I359"/>
    </row>
    <row r="360" spans="9:9">
      <c r="I360"/>
    </row>
    <row r="361" spans="9:9">
      <c r="I361"/>
    </row>
    <row r="362" spans="9:9">
      <c r="I362"/>
    </row>
    <row r="363" spans="9:9">
      <c r="I363"/>
    </row>
    <row r="364" spans="9:9">
      <c r="I364"/>
    </row>
    <row r="365" spans="9:9">
      <c r="I365"/>
    </row>
    <row r="366" spans="9:9">
      <c r="I366"/>
    </row>
    <row r="367" spans="9:9">
      <c r="I367"/>
    </row>
    <row r="368" spans="9:9">
      <c r="I368"/>
    </row>
    <row r="369" spans="9:9">
      <c r="I369"/>
    </row>
    <row r="370" spans="9:9">
      <c r="I370"/>
    </row>
    <row r="371" spans="9:9">
      <c r="I371"/>
    </row>
    <row r="372" spans="9:9">
      <c r="I372"/>
    </row>
    <row r="373" spans="9:9">
      <c r="I373"/>
    </row>
    <row r="374" spans="9:9">
      <c r="I374"/>
    </row>
    <row r="375" spans="9:9">
      <c r="I375"/>
    </row>
    <row r="376" spans="9:9">
      <c r="I376"/>
    </row>
    <row r="377" spans="9:9">
      <c r="I377"/>
    </row>
    <row r="378" spans="9:9">
      <c r="I378"/>
    </row>
    <row r="379" spans="9:9">
      <c r="I379"/>
    </row>
    <row r="380" spans="9:9">
      <c r="I380"/>
    </row>
    <row r="381" spans="9:9">
      <c r="I381"/>
    </row>
    <row r="382" spans="9:9">
      <c r="I382"/>
    </row>
    <row r="383" spans="9:9">
      <c r="I383"/>
    </row>
    <row r="384" spans="9:9">
      <c r="I384"/>
    </row>
    <row r="385" spans="9:9">
      <c r="I385"/>
    </row>
    <row r="386" spans="9:9">
      <c r="I386"/>
    </row>
    <row r="387" spans="9:9">
      <c r="I387"/>
    </row>
    <row r="388" spans="9:9">
      <c r="I388"/>
    </row>
    <row r="389" spans="9:9">
      <c r="I389"/>
    </row>
    <row r="390" spans="9:9">
      <c r="I390"/>
    </row>
    <row r="391" spans="9:9">
      <c r="I391"/>
    </row>
    <row r="392" spans="9:9">
      <c r="I392"/>
    </row>
    <row r="393" spans="9:9">
      <c r="I393"/>
    </row>
    <row r="394" spans="9:9">
      <c r="I394"/>
    </row>
    <row r="395" spans="9:9">
      <c r="I395"/>
    </row>
    <row r="396" spans="9:9">
      <c r="I396"/>
    </row>
    <row r="397" spans="9:9">
      <c r="I397"/>
    </row>
    <row r="398" spans="9:9">
      <c r="I398"/>
    </row>
    <row r="399" spans="9:9">
      <c r="I399"/>
    </row>
    <row r="400" spans="9:9">
      <c r="I400"/>
    </row>
    <row r="401" spans="9:9">
      <c r="I401"/>
    </row>
    <row r="402" spans="9:9">
      <c r="I402"/>
    </row>
    <row r="403" spans="9:9">
      <c r="I403"/>
    </row>
    <row r="404" spans="9:9">
      <c r="I404"/>
    </row>
    <row r="405" spans="9:9">
      <c r="I405"/>
    </row>
    <row r="406" spans="9:9">
      <c r="I406"/>
    </row>
    <row r="407" spans="9:9">
      <c r="I407"/>
    </row>
    <row r="408" spans="9:9">
      <c r="I408"/>
    </row>
    <row r="409" spans="9:9">
      <c r="I409"/>
    </row>
    <row r="410" spans="9:9">
      <c r="I410"/>
    </row>
    <row r="411" spans="9:9">
      <c r="I411"/>
    </row>
    <row r="412" spans="9:9">
      <c r="I412"/>
    </row>
    <row r="413" spans="9:9">
      <c r="I413"/>
    </row>
    <row r="414" spans="9:9">
      <c r="I414"/>
    </row>
    <row r="415" spans="9:9">
      <c r="I415"/>
    </row>
    <row r="416" spans="9:9">
      <c r="I416"/>
    </row>
    <row r="417" spans="9:9">
      <c r="I417"/>
    </row>
    <row r="418" spans="9:9">
      <c r="I418"/>
    </row>
    <row r="419" spans="9:9">
      <c r="I419"/>
    </row>
    <row r="420" spans="9:9">
      <c r="I420"/>
    </row>
    <row r="421" spans="9:9">
      <c r="I421"/>
    </row>
    <row r="422" spans="9:9">
      <c r="I422"/>
    </row>
    <row r="423" spans="9:9">
      <c r="I423"/>
    </row>
    <row r="424" spans="9:9">
      <c r="I424"/>
    </row>
    <row r="425" spans="9:9">
      <c r="I425"/>
    </row>
    <row r="426" spans="9:9">
      <c r="I426"/>
    </row>
    <row r="427" spans="9:9">
      <c r="I427"/>
    </row>
    <row r="428" spans="9:9">
      <c r="I428"/>
    </row>
    <row r="429" spans="9:9">
      <c r="I429"/>
    </row>
    <row r="430" spans="9:9">
      <c r="I430"/>
    </row>
    <row r="431" spans="9:9">
      <c r="I431"/>
    </row>
    <row r="432" spans="9:9">
      <c r="I432"/>
    </row>
    <row r="433" spans="9:9">
      <c r="I433"/>
    </row>
    <row r="434" spans="9:9">
      <c r="I434"/>
    </row>
    <row r="435" spans="9:9">
      <c r="I435"/>
    </row>
    <row r="436" spans="9:9">
      <c r="I436"/>
    </row>
    <row r="437" spans="9:9">
      <c r="I437"/>
    </row>
    <row r="438" spans="9:9">
      <c r="I438"/>
    </row>
    <row r="439" spans="9:9">
      <c r="I439"/>
    </row>
    <row r="440" spans="9:9">
      <c r="I440"/>
    </row>
    <row r="441" spans="9:9">
      <c r="I441"/>
    </row>
    <row r="442" spans="9:9">
      <c r="I442"/>
    </row>
    <row r="443" spans="9:9">
      <c r="I443"/>
    </row>
    <row r="444" spans="9:9">
      <c r="I444"/>
    </row>
    <row r="445" spans="9:9">
      <c r="I445"/>
    </row>
    <row r="446" spans="9:9">
      <c r="I446"/>
    </row>
    <row r="447" spans="9:9">
      <c r="I447"/>
    </row>
    <row r="448" spans="9:9">
      <c r="I448"/>
    </row>
    <row r="449" spans="9:9">
      <c r="I449"/>
    </row>
    <row r="450" spans="9:9">
      <c r="I450"/>
    </row>
    <row r="451" spans="9:9">
      <c r="I451"/>
    </row>
    <row r="452" spans="9:9">
      <c r="I452"/>
    </row>
    <row r="453" spans="9:9">
      <c r="I453"/>
    </row>
    <row r="454" spans="9:9">
      <c r="I454"/>
    </row>
    <row r="455" spans="9:9">
      <c r="I455"/>
    </row>
    <row r="456" spans="9:9">
      <c r="I456"/>
    </row>
    <row r="457" spans="9:9">
      <c r="I457"/>
    </row>
    <row r="458" spans="9:9">
      <c r="I458"/>
    </row>
    <row r="459" spans="9:9">
      <c r="I459"/>
    </row>
    <row r="460" spans="9:9">
      <c r="I460"/>
    </row>
    <row r="461" spans="9:9">
      <c r="I461"/>
    </row>
    <row r="462" spans="9:9">
      <c r="I462"/>
    </row>
    <row r="463" spans="9:9">
      <c r="I463"/>
    </row>
    <row r="464" spans="9:9">
      <c r="I464"/>
    </row>
    <row r="465" spans="9:9">
      <c r="I465"/>
    </row>
    <row r="466" spans="9:9">
      <c r="I466"/>
    </row>
    <row r="467" spans="9:9">
      <c r="I467"/>
    </row>
    <row r="468" spans="9:9">
      <c r="I468"/>
    </row>
    <row r="469" spans="9:9">
      <c r="I469"/>
    </row>
    <row r="470" spans="9:9">
      <c r="I470"/>
    </row>
    <row r="471" spans="9:9">
      <c r="I471"/>
    </row>
    <row r="472" spans="9:9">
      <c r="I472"/>
    </row>
    <row r="473" spans="9:9">
      <c r="I473"/>
    </row>
    <row r="474" spans="9:9">
      <c r="I474"/>
    </row>
    <row r="475" spans="9:9">
      <c r="I475"/>
    </row>
    <row r="476" spans="9:9">
      <c r="I476"/>
    </row>
    <row r="477" spans="9:9">
      <c r="I477"/>
    </row>
    <row r="478" spans="9:9">
      <c r="I478"/>
    </row>
    <row r="479" spans="9:9">
      <c r="I479"/>
    </row>
    <row r="480" spans="9:9">
      <c r="I480"/>
    </row>
    <row r="481" spans="9:9">
      <c r="I481"/>
    </row>
    <row r="482" spans="9:9">
      <c r="I482"/>
    </row>
    <row r="483" spans="9:9">
      <c r="I483"/>
    </row>
    <row r="484" spans="9:9">
      <c r="I484"/>
    </row>
    <row r="485" spans="9:9">
      <c r="I485"/>
    </row>
    <row r="486" spans="9:9">
      <c r="I486"/>
    </row>
    <row r="487" spans="9:9">
      <c r="I487"/>
    </row>
    <row r="488" spans="9:9">
      <c r="I488"/>
    </row>
    <row r="489" spans="9:9">
      <c r="I489"/>
    </row>
    <row r="490" spans="9:9">
      <c r="I490"/>
    </row>
    <row r="491" spans="9:9">
      <c r="I491"/>
    </row>
    <row r="492" spans="9:9">
      <c r="I492"/>
    </row>
    <row r="493" spans="9:9">
      <c r="I493"/>
    </row>
    <row r="494" spans="9:9">
      <c r="I494"/>
    </row>
    <row r="495" spans="9:9">
      <c r="I495"/>
    </row>
    <row r="496" spans="9:9">
      <c r="I496"/>
    </row>
    <row r="497" spans="9:9">
      <c r="I497"/>
    </row>
    <row r="498" spans="9:9">
      <c r="I498"/>
    </row>
    <row r="499" spans="9:9">
      <c r="I499"/>
    </row>
    <row r="500" spans="9:9">
      <c r="I500"/>
    </row>
    <row r="501" spans="9:9">
      <c r="I501"/>
    </row>
    <row r="502" spans="9:9">
      <c r="I502"/>
    </row>
    <row r="503" spans="9:9">
      <c r="I503"/>
    </row>
    <row r="504" spans="9:9">
      <c r="I504"/>
    </row>
    <row r="505" spans="9:9">
      <c r="I505"/>
    </row>
    <row r="506" spans="9:9">
      <c r="I506"/>
    </row>
    <row r="507" spans="9:9">
      <c r="I507"/>
    </row>
    <row r="508" spans="9:9">
      <c r="I508"/>
    </row>
    <row r="509" spans="9:9">
      <c r="I509"/>
    </row>
    <row r="510" spans="9:9">
      <c r="I510"/>
    </row>
    <row r="511" spans="9:9">
      <c r="I511"/>
    </row>
    <row r="512" spans="9:9">
      <c r="I512"/>
    </row>
    <row r="513" spans="9:9">
      <c r="I513"/>
    </row>
    <row r="514" spans="9:9">
      <c r="I514"/>
    </row>
    <row r="515" spans="9:9">
      <c r="I515"/>
    </row>
    <row r="516" spans="9:9">
      <c r="I516"/>
    </row>
    <row r="517" spans="9:9">
      <c r="I517"/>
    </row>
    <row r="518" spans="9:9">
      <c r="I518"/>
    </row>
    <row r="519" spans="9:9">
      <c r="I519"/>
    </row>
    <row r="520" spans="9:9">
      <c r="I520"/>
    </row>
    <row r="521" spans="9:9">
      <c r="I521"/>
    </row>
    <row r="522" spans="9:9">
      <c r="I522"/>
    </row>
    <row r="523" spans="9:9">
      <c r="I523"/>
    </row>
    <row r="524" spans="9:9">
      <c r="I524"/>
    </row>
    <row r="525" spans="9:9">
      <c r="I525"/>
    </row>
    <row r="526" spans="9:9">
      <c r="I526"/>
    </row>
    <row r="527" spans="9:9">
      <c r="I527"/>
    </row>
    <row r="528" spans="9:9">
      <c r="I528"/>
    </row>
    <row r="529" spans="9:9">
      <c r="I529"/>
    </row>
    <row r="530" spans="9:9">
      <c r="I530"/>
    </row>
    <row r="531" spans="9:9">
      <c r="I531"/>
    </row>
    <row r="532" spans="9:9">
      <c r="I532"/>
    </row>
    <row r="533" spans="9:9">
      <c r="I533"/>
    </row>
    <row r="534" spans="9:9">
      <c r="I534"/>
    </row>
    <row r="535" spans="9:9">
      <c r="I535"/>
    </row>
    <row r="536" spans="9:9">
      <c r="I536"/>
    </row>
    <row r="537" spans="9:9">
      <c r="I537"/>
    </row>
    <row r="538" spans="9:9">
      <c r="I538"/>
    </row>
  </sheetData>
  <pageMargins left="0.511811024" right="0.511811024" top="0.78740157499999996" bottom="0.78740157499999996" header="0.31496062000000002" footer="0.31496062000000002"/>
  <pageSetup paperSize="9" orientation="portrait"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15" sqref="F15"/>
    </sheetView>
  </sheetViews>
  <sheetFormatPr defaultRowHeight="14.4"/>
  <cols>
    <col min="1" max="1" width="12.44140625" customWidth="1"/>
    <col min="2" max="2" width="16.109375" bestFit="1" customWidth="1"/>
  </cols>
  <sheetData>
    <row r="1" spans="1:2">
      <c r="A1" s="157" t="s">
        <v>325</v>
      </c>
      <c r="B1" s="170" t="s">
        <v>414</v>
      </c>
    </row>
    <row r="2" spans="1:2">
      <c r="A2" s="157" t="s">
        <v>324</v>
      </c>
      <c r="B2" s="170" t="s">
        <v>416</v>
      </c>
    </row>
    <row r="4" spans="1:2">
      <c r="A4" s="157" t="s">
        <v>415</v>
      </c>
      <c r="B4" t="s">
        <v>321</v>
      </c>
    </row>
    <row r="5" spans="1:2">
      <c r="A5" s="160" t="s">
        <v>413</v>
      </c>
      <c r="B5" s="161"/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4"/>
  <sheetViews>
    <sheetView topLeftCell="A301" workbookViewId="0">
      <selection activeCell="B12" sqref="B12"/>
    </sheetView>
  </sheetViews>
  <sheetFormatPr defaultRowHeight="14.4"/>
  <cols>
    <col min="1" max="1" width="25.5546875" customWidth="1"/>
    <col min="2" max="2" width="11.88671875" customWidth="1"/>
    <col min="3" max="3" width="15.44140625" bestFit="1" customWidth="1"/>
    <col min="4" max="4" width="13.88671875" bestFit="1" customWidth="1"/>
  </cols>
  <sheetData>
    <row r="2" spans="1:3">
      <c r="A2" s="157" t="s">
        <v>325</v>
      </c>
      <c r="B2" s="170" t="s">
        <v>414</v>
      </c>
    </row>
    <row r="3" spans="1:3">
      <c r="A3" s="157" t="s">
        <v>330</v>
      </c>
      <c r="B3" s="170" t="s">
        <v>331</v>
      </c>
    </row>
    <row r="5" spans="1:3">
      <c r="B5" s="157" t="s">
        <v>322</v>
      </c>
    </row>
    <row r="6" spans="1:3">
      <c r="A6" s="157" t="s">
        <v>415</v>
      </c>
      <c r="B6" s="170" t="s">
        <v>321</v>
      </c>
      <c r="C6" s="170" t="s">
        <v>357</v>
      </c>
    </row>
    <row r="7" spans="1:3">
      <c r="A7" s="160" t="s">
        <v>307</v>
      </c>
      <c r="B7" s="161">
        <v>126350</v>
      </c>
      <c r="C7" s="156">
        <v>1</v>
      </c>
    </row>
    <row r="8" spans="1:3">
      <c r="A8" s="144" t="s">
        <v>191</v>
      </c>
      <c r="B8" s="161">
        <v>126350</v>
      </c>
      <c r="C8" s="156">
        <v>1</v>
      </c>
    </row>
    <row r="9" spans="1:3">
      <c r="A9" s="146">
        <v>2</v>
      </c>
      <c r="B9" s="161">
        <v>126350</v>
      </c>
      <c r="C9" s="156">
        <v>1</v>
      </c>
    </row>
    <row r="10" spans="1:3">
      <c r="A10" s="160" t="s">
        <v>148</v>
      </c>
      <c r="B10" s="161">
        <v>240000</v>
      </c>
      <c r="C10" s="156">
        <v>1</v>
      </c>
    </row>
    <row r="11" spans="1:3">
      <c r="A11" s="144" t="s">
        <v>191</v>
      </c>
      <c r="B11" s="161">
        <v>240000</v>
      </c>
      <c r="C11" s="156">
        <v>1</v>
      </c>
    </row>
    <row r="12" spans="1:3">
      <c r="A12" s="146">
        <v>2</v>
      </c>
      <c r="B12" s="161">
        <v>240000</v>
      </c>
      <c r="C12" s="156">
        <v>1</v>
      </c>
    </row>
    <row r="13" spans="1:3">
      <c r="A13" s="160" t="s">
        <v>19</v>
      </c>
      <c r="B13" s="161">
        <v>435300</v>
      </c>
      <c r="C13" s="156">
        <v>2</v>
      </c>
    </row>
    <row r="14" spans="1:3">
      <c r="A14" s="144" t="s">
        <v>191</v>
      </c>
      <c r="B14" s="161">
        <v>435300</v>
      </c>
      <c r="C14" s="156">
        <v>2</v>
      </c>
    </row>
    <row r="15" spans="1:3">
      <c r="A15" s="146">
        <v>2</v>
      </c>
      <c r="B15" s="161">
        <v>435300</v>
      </c>
      <c r="C15" s="156">
        <v>2</v>
      </c>
    </row>
    <row r="16" spans="1:3">
      <c r="A16" s="160" t="s">
        <v>310</v>
      </c>
      <c r="B16" s="161">
        <v>483529.12</v>
      </c>
      <c r="C16" s="156">
        <v>1</v>
      </c>
    </row>
    <row r="17" spans="1:3">
      <c r="A17" s="144" t="s">
        <v>81</v>
      </c>
      <c r="B17" s="161">
        <v>483529.12</v>
      </c>
      <c r="C17" s="156">
        <v>1</v>
      </c>
    </row>
    <row r="18" spans="1:3">
      <c r="A18" s="146">
        <v>2</v>
      </c>
      <c r="B18" s="161">
        <v>483529.12</v>
      </c>
      <c r="C18" s="156">
        <v>1</v>
      </c>
    </row>
    <row r="19" spans="1:3">
      <c r="A19" s="160" t="s">
        <v>372</v>
      </c>
      <c r="B19" s="161">
        <v>126350</v>
      </c>
      <c r="C19" s="156">
        <v>1</v>
      </c>
    </row>
    <row r="20" spans="1:3">
      <c r="A20" s="144" t="s">
        <v>191</v>
      </c>
      <c r="B20" s="161">
        <v>126350</v>
      </c>
      <c r="C20" s="156">
        <v>1</v>
      </c>
    </row>
    <row r="21" spans="1:3">
      <c r="A21" s="146">
        <v>2</v>
      </c>
      <c r="B21" s="161">
        <v>126350</v>
      </c>
      <c r="C21" s="156">
        <v>1</v>
      </c>
    </row>
    <row r="22" spans="1:3">
      <c r="A22" s="160" t="s">
        <v>371</v>
      </c>
      <c r="B22" s="161">
        <v>1062000</v>
      </c>
      <c r="C22" s="156">
        <v>4</v>
      </c>
    </row>
    <row r="23" spans="1:3">
      <c r="A23" s="144" t="s">
        <v>233</v>
      </c>
      <c r="B23" s="161">
        <v>343000</v>
      </c>
      <c r="C23" s="156">
        <v>1</v>
      </c>
    </row>
    <row r="24" spans="1:3">
      <c r="A24" s="146">
        <v>2</v>
      </c>
      <c r="B24" s="161">
        <v>343000</v>
      </c>
      <c r="C24" s="156">
        <v>1</v>
      </c>
    </row>
    <row r="25" spans="1:3">
      <c r="A25" s="144" t="s">
        <v>191</v>
      </c>
      <c r="B25" s="161">
        <v>205000</v>
      </c>
      <c r="C25" s="156">
        <v>1</v>
      </c>
    </row>
    <row r="26" spans="1:3">
      <c r="A26" s="146">
        <v>2</v>
      </c>
      <c r="B26" s="161">
        <v>205000</v>
      </c>
      <c r="C26" s="156">
        <v>1</v>
      </c>
    </row>
    <row r="27" spans="1:3">
      <c r="A27" s="144" t="s">
        <v>208</v>
      </c>
      <c r="B27" s="161">
        <v>273500</v>
      </c>
      <c r="C27" s="156">
        <v>1</v>
      </c>
    </row>
    <row r="28" spans="1:3">
      <c r="A28" s="146">
        <v>2</v>
      </c>
      <c r="B28" s="161">
        <v>273500</v>
      </c>
      <c r="C28" s="156">
        <v>1</v>
      </c>
    </row>
    <row r="29" spans="1:3">
      <c r="A29" s="144" t="s">
        <v>367</v>
      </c>
      <c r="B29" s="161">
        <v>240500</v>
      </c>
      <c r="C29" s="156">
        <v>1</v>
      </c>
    </row>
    <row r="30" spans="1:3">
      <c r="A30" s="146">
        <v>2</v>
      </c>
      <c r="B30" s="161">
        <v>240500</v>
      </c>
      <c r="C30" s="156">
        <v>1</v>
      </c>
    </row>
    <row r="31" spans="1:3">
      <c r="A31" s="160" t="s">
        <v>418</v>
      </c>
      <c r="B31" s="161">
        <v>210000</v>
      </c>
      <c r="C31" s="156">
        <v>1</v>
      </c>
    </row>
    <row r="32" spans="1:3">
      <c r="A32" s="144" t="s">
        <v>191</v>
      </c>
      <c r="B32" s="161">
        <v>210000</v>
      </c>
      <c r="C32" s="156">
        <v>1</v>
      </c>
    </row>
    <row r="33" spans="1:3">
      <c r="A33" s="146">
        <v>2</v>
      </c>
      <c r="B33" s="161">
        <v>210000</v>
      </c>
      <c r="C33" s="156">
        <v>1</v>
      </c>
    </row>
    <row r="34" spans="1:3">
      <c r="A34" s="160" t="s">
        <v>413</v>
      </c>
      <c r="B34" s="161">
        <v>2683529.12</v>
      </c>
      <c r="C34" s="156">
        <v>11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Ranking - Total Anual</vt:lpstr>
      <vt:lpstr>Gerente - Mensal </vt:lpstr>
      <vt:lpstr>Corretor - Mensal</vt:lpstr>
      <vt:lpstr>Coord. Mac e Cia</vt:lpstr>
      <vt:lpstr>Plan10</vt:lpstr>
      <vt:lpstr>Novo Ranking 2013 E 2014</vt:lpstr>
      <vt:lpstr>mensal</vt:lpstr>
      <vt:lpstr>Plan4</vt:lpstr>
      <vt:lpstr>Plan5</vt:lpstr>
      <vt:lpstr>Plan9</vt:lpstr>
      <vt:lpstr>Ranking 2º semestre</vt:lpstr>
      <vt:lpstr>Acumulado dos Corretores</vt:lpstr>
      <vt:lpstr>Plan1</vt:lpstr>
      <vt:lpstr>Plan2</vt:lpstr>
      <vt:lpstr>Acumulado dos Gerentes</vt:lpstr>
      <vt:lpstr>Plan3</vt:lpstr>
      <vt:lpstr>Plan6</vt:lpstr>
      <vt:lpstr>Plan7</vt:lpstr>
      <vt:lpstr>Plan8</vt:lpstr>
      <vt:lpstr>Share 2013</vt:lpstr>
    </vt:vector>
  </TitlesOfParts>
  <Company>MAC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marianac</dc:creator>
  <cp:lastModifiedBy>Bruno</cp:lastModifiedBy>
  <cp:lastPrinted>2014-01-30T14:10:32Z</cp:lastPrinted>
  <dcterms:created xsi:type="dcterms:W3CDTF">2011-12-12T14:57:51Z</dcterms:created>
  <dcterms:modified xsi:type="dcterms:W3CDTF">2014-02-26T19:12:50Z</dcterms:modified>
</cp:coreProperties>
</file>