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webextensions/webextension1.xml" ContentType="application/vnd.ms-office.webextension+xml"/>
  <Override PartName="/xl/webextensions/webextension2.xml" ContentType="application/vnd.ms-office.webextension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webextensions/webextension3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HORMANN\"/>
    </mc:Choice>
  </mc:AlternateContent>
  <xr:revisionPtr revIDLastSave="0" documentId="13_ncr:1_{21F5DD1E-B58C-4200-9F54-F08B7B61BDD3}" xr6:coauthVersionLast="47" xr6:coauthVersionMax="47" xr10:uidLastSave="{00000000-0000-0000-0000-000000000000}"/>
  <bookViews>
    <workbookView xWindow="28680" yWindow="-120" windowWidth="29040" windowHeight="15840" activeTab="2" xr2:uid="{4D506895-D28D-4F7F-AA9F-F134BB2D006F}"/>
  </bookViews>
  <sheets>
    <sheet name="BAZA PROIZVODA " sheetId="2" r:id="rId1"/>
    <sheet name="Upis_stavki" sheetId="6" r:id="rId2"/>
    <sheet name="Stanje" sheetId="7" r:id="rId3"/>
  </sheets>
  <definedNames>
    <definedName name="AKT">#REF!</definedName>
    <definedName name="AKTIVNOST">#REF!</definedName>
    <definedName name="DETALJI">#REF!</definedName>
    <definedName name="INOUTCODE">#REF!</definedName>
    <definedName name="INOUTKOLIČINA">#REF!</definedName>
    <definedName name="INOUTmotori">#REF!</definedName>
    <definedName name="INOUTpaneli">#REF!</definedName>
    <definedName name="INOUTsif">#REF!</definedName>
    <definedName name="INOUTsifr">#REF!</definedName>
    <definedName name="INOUTsifra">#REF!</definedName>
    <definedName name="INOUTvodilice">#REF!</definedName>
    <definedName name="KOLIČINA">'BAZA PROIZVODA '!$D$2</definedName>
    <definedName name="LAGER">'BAZA PROIZVODA '!$E$2</definedName>
    <definedName name="MOTOR_ŠIFRA">#REF!</definedName>
    <definedName name="motori">#REF!</definedName>
    <definedName name="MOTORI_ŠIFRA">#REF!</definedName>
    <definedName name="Naziv_proizvoda">'BAZA PROIZVODA '!$B$2</definedName>
    <definedName name="paneli">#REF!</definedName>
    <definedName name="PANELI_ŠIFRA">#REF!</definedName>
    <definedName name="RAL__BOJA_DECOR">'BAZA PROIZVODA '!$C$2</definedName>
    <definedName name="Šifra">#REF!</definedName>
    <definedName name="Šifra_proizvoda">'BAZA PROIZVODA '!$A$2</definedName>
    <definedName name="vodilice">#REF!</definedName>
    <definedName name="VODILICE_ŠIFR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7" i="6" l="1"/>
  <c r="C37" i="6"/>
  <c r="D37" i="6"/>
  <c r="G37" i="6"/>
  <c r="I37" i="6"/>
  <c r="C38" i="6"/>
  <c r="D38" i="6"/>
  <c r="G38" i="6"/>
  <c r="I38" i="6"/>
  <c r="C39" i="6"/>
  <c r="D39" i="6"/>
  <c r="G39" i="6"/>
  <c r="I39" i="6"/>
  <c r="C40" i="6"/>
  <c r="D40" i="6"/>
  <c r="G40" i="6"/>
  <c r="I40" i="6"/>
  <c r="C41" i="6"/>
  <c r="D41" i="6"/>
  <c r="G41" i="6"/>
  <c r="I41" i="6"/>
  <c r="C42" i="6"/>
  <c r="D42" i="6"/>
  <c r="G42" i="6"/>
  <c r="I42" i="6"/>
  <c r="C43" i="6"/>
  <c r="D43" i="6"/>
  <c r="G43" i="6"/>
  <c r="I43" i="6"/>
  <c r="C44" i="6"/>
  <c r="D44" i="6"/>
  <c r="G44" i="6"/>
  <c r="I44" i="6"/>
  <c r="C45" i="6"/>
  <c r="D45" i="6"/>
  <c r="G45" i="6"/>
  <c r="I45" i="6"/>
  <c r="C46" i="6"/>
  <c r="D46" i="6"/>
  <c r="G46" i="6"/>
  <c r="I46" i="6"/>
  <c r="C47" i="6"/>
  <c r="D47" i="6"/>
  <c r="I47" i="6"/>
  <c r="C48" i="6"/>
  <c r="D48" i="6"/>
  <c r="G48" i="6"/>
  <c r="I48" i="6"/>
  <c r="C49" i="6"/>
  <c r="D49" i="6"/>
  <c r="G49" i="6"/>
  <c r="I49" i="6"/>
  <c r="C50" i="6"/>
  <c r="D50" i="6"/>
  <c r="G50" i="6"/>
  <c r="I50" i="6"/>
  <c r="C51" i="6"/>
  <c r="D51" i="6"/>
  <c r="G51" i="6"/>
  <c r="I51" i="6"/>
  <c r="C52" i="6"/>
  <c r="D52" i="6"/>
  <c r="G52" i="6"/>
  <c r="I52" i="6"/>
  <c r="C53" i="6"/>
  <c r="D53" i="6"/>
  <c r="G53" i="6"/>
  <c r="I53" i="6"/>
  <c r="C54" i="6"/>
  <c r="D54" i="6"/>
  <c r="G54" i="6"/>
  <c r="I54" i="6"/>
  <c r="C55" i="6"/>
  <c r="D55" i="6"/>
  <c r="G55" i="6"/>
  <c r="I55" i="6"/>
  <c r="C56" i="6"/>
  <c r="D56" i="6"/>
  <c r="G56" i="6"/>
  <c r="I56" i="6"/>
  <c r="C57" i="6"/>
  <c r="D57" i="6"/>
  <c r="G57" i="6"/>
  <c r="I57" i="6"/>
  <c r="C58" i="6"/>
  <c r="D58" i="6"/>
  <c r="G58" i="6"/>
  <c r="I58" i="6"/>
  <c r="G19" i="6"/>
  <c r="D26" i="6"/>
  <c r="B27" i="7"/>
  <c r="E27" i="7" s="1"/>
  <c r="L27" i="7"/>
  <c r="P27" i="7"/>
  <c r="T27" i="7"/>
  <c r="V27" i="7" s="1"/>
  <c r="B28" i="7"/>
  <c r="E28" i="7" s="1"/>
  <c r="L28" i="7"/>
  <c r="P28" i="7" s="1"/>
  <c r="T28" i="7"/>
  <c r="V28" i="7" s="1"/>
  <c r="W28" i="7"/>
  <c r="B29" i="7"/>
  <c r="E29" i="7" s="1"/>
  <c r="L29" i="7"/>
  <c r="P29" i="7"/>
  <c r="T29" i="7"/>
  <c r="V29" i="7" s="1"/>
  <c r="U29" i="7"/>
  <c r="W29" i="7"/>
  <c r="B30" i="7"/>
  <c r="E30" i="7" s="1"/>
  <c r="L30" i="7"/>
  <c r="T30" i="7"/>
  <c r="V30" i="7" s="1"/>
  <c r="B31" i="7"/>
  <c r="E31" i="7" s="1"/>
  <c r="L31" i="7"/>
  <c r="P31" i="7"/>
  <c r="T31" i="7"/>
  <c r="V31" i="7" s="1"/>
  <c r="B32" i="7"/>
  <c r="L32" i="7"/>
  <c r="T32" i="7"/>
  <c r="V32" i="7" s="1"/>
  <c r="B33" i="7"/>
  <c r="L33" i="7"/>
  <c r="O33" i="7" s="1"/>
  <c r="M33" i="7"/>
  <c r="N33" i="7"/>
  <c r="P33" i="7"/>
  <c r="T33" i="7"/>
  <c r="V33" i="7" s="1"/>
  <c r="B34" i="7"/>
  <c r="L34" i="7"/>
  <c r="N34" i="7" s="1"/>
  <c r="P34" i="7"/>
  <c r="T34" i="7"/>
  <c r="V34" i="7" s="1"/>
  <c r="U34" i="7"/>
  <c r="W34" i="7"/>
  <c r="B35" i="7"/>
  <c r="L35" i="7"/>
  <c r="T35" i="7"/>
  <c r="B36" i="7"/>
  <c r="E36" i="7" s="1"/>
  <c r="L36" i="7"/>
  <c r="P36" i="7" s="1"/>
  <c r="N36" i="7"/>
  <c r="T36" i="7"/>
  <c r="W36" i="7" s="1"/>
  <c r="X36" i="7"/>
  <c r="B37" i="7"/>
  <c r="F37" i="7" s="1"/>
  <c r="L37" i="7"/>
  <c r="O37" i="7" s="1"/>
  <c r="M37" i="7"/>
  <c r="N37" i="7"/>
  <c r="P37" i="7"/>
  <c r="T37" i="7"/>
  <c r="V37" i="7"/>
  <c r="B38" i="7"/>
  <c r="D38" i="7" s="1"/>
  <c r="G38" i="7"/>
  <c r="L38" i="7"/>
  <c r="N38" i="7"/>
  <c r="T38" i="7"/>
  <c r="X38" i="7" s="1"/>
  <c r="B39" i="7"/>
  <c r="H39" i="7" s="1"/>
  <c r="L39" i="7"/>
  <c r="P39" i="7"/>
  <c r="T39" i="7"/>
  <c r="B40" i="7"/>
  <c r="F40" i="7" s="1"/>
  <c r="L40" i="7"/>
  <c r="T40" i="7"/>
  <c r="U40" i="7"/>
  <c r="B41" i="7"/>
  <c r="G41" i="7" s="1"/>
  <c r="L41" i="7"/>
  <c r="O41" i="7" s="1"/>
  <c r="M41" i="7"/>
  <c r="N41" i="7"/>
  <c r="P41" i="7"/>
  <c r="T41" i="7"/>
  <c r="W41" i="7" s="1"/>
  <c r="B42" i="7"/>
  <c r="C42" i="7" s="1"/>
  <c r="G42" i="7"/>
  <c r="L42" i="7"/>
  <c r="T42" i="7"/>
  <c r="B43" i="7"/>
  <c r="L43" i="7"/>
  <c r="M43" i="7"/>
  <c r="T43" i="7"/>
  <c r="V43" i="7"/>
  <c r="B44" i="7"/>
  <c r="C44" i="7" s="1"/>
  <c r="L44" i="7"/>
  <c r="T44" i="7"/>
  <c r="X44" i="7" s="1"/>
  <c r="B45" i="7"/>
  <c r="F45" i="7" s="1"/>
  <c r="L45" i="7"/>
  <c r="O45" i="7" s="1"/>
  <c r="M45" i="7"/>
  <c r="N45" i="7"/>
  <c r="P45" i="7"/>
  <c r="T45" i="7"/>
  <c r="B46" i="7"/>
  <c r="G46" i="7" s="1"/>
  <c r="L46" i="7"/>
  <c r="O46" i="7" s="1"/>
  <c r="M46" i="7"/>
  <c r="N46" i="7"/>
  <c r="T46" i="7"/>
  <c r="V46" i="7" s="1"/>
  <c r="U46" i="7"/>
  <c r="B47" i="7"/>
  <c r="F47" i="7" s="1"/>
  <c r="D47" i="7"/>
  <c r="E47" i="7"/>
  <c r="L47" i="7"/>
  <c r="M47" i="7" s="1"/>
  <c r="T47" i="7"/>
  <c r="U47" i="7" s="1"/>
  <c r="B48" i="7"/>
  <c r="D48" i="7" s="1"/>
  <c r="L48" i="7"/>
  <c r="P48" i="7"/>
  <c r="T48" i="7"/>
  <c r="X48" i="7" s="1"/>
  <c r="B49" i="7"/>
  <c r="E49" i="7" s="1"/>
  <c r="D49" i="7"/>
  <c r="H49" i="7"/>
  <c r="L49" i="7"/>
  <c r="O49" i="7" s="1"/>
  <c r="M49" i="7"/>
  <c r="N49" i="7"/>
  <c r="P49" i="7"/>
  <c r="T49" i="7"/>
  <c r="B50" i="7"/>
  <c r="G50" i="7" s="1"/>
  <c r="C50" i="7"/>
  <c r="L50" i="7"/>
  <c r="T50" i="7"/>
  <c r="U50" i="7"/>
  <c r="B51" i="7"/>
  <c r="H51" i="7" s="1"/>
  <c r="D51" i="7"/>
  <c r="E51" i="7"/>
  <c r="L51" i="7"/>
  <c r="N51" i="7" s="1"/>
  <c r="M51" i="7"/>
  <c r="T51" i="7"/>
  <c r="V51" i="7" s="1"/>
  <c r="B52" i="7"/>
  <c r="E52" i="7" s="1"/>
  <c r="C52" i="7"/>
  <c r="G52" i="7"/>
  <c r="H52" i="7"/>
  <c r="L52" i="7"/>
  <c r="M52" i="7" s="1"/>
  <c r="N52" i="7"/>
  <c r="O52" i="7"/>
  <c r="T52" i="7"/>
  <c r="W52" i="7" s="1"/>
  <c r="B53" i="7"/>
  <c r="L53" i="7"/>
  <c r="O53" i="7" s="1"/>
  <c r="M53" i="7"/>
  <c r="N53" i="7"/>
  <c r="P53" i="7"/>
  <c r="T53" i="7"/>
  <c r="U53" i="7"/>
  <c r="B54" i="7"/>
  <c r="G54" i="7" s="1"/>
  <c r="C54" i="7"/>
  <c r="E54" i="7"/>
  <c r="L54" i="7"/>
  <c r="T54" i="7"/>
  <c r="U54" i="7" s="1"/>
  <c r="B55" i="7"/>
  <c r="L55" i="7"/>
  <c r="P55" i="7"/>
  <c r="T55" i="7"/>
  <c r="X55" i="7"/>
  <c r="B56" i="7"/>
  <c r="D56" i="7" s="1"/>
  <c r="C56" i="7"/>
  <c r="F56" i="7"/>
  <c r="G56" i="7"/>
  <c r="L56" i="7"/>
  <c r="T56" i="7"/>
  <c r="W56" i="7" s="1"/>
  <c r="U56" i="7"/>
  <c r="B57" i="7"/>
  <c r="D57" i="7" s="1"/>
  <c r="F57" i="7"/>
  <c r="L57" i="7"/>
  <c r="O57" i="7" s="1"/>
  <c r="N57" i="7"/>
  <c r="T57" i="7"/>
  <c r="V57" i="7" s="1"/>
  <c r="W57" i="7"/>
  <c r="B58" i="7"/>
  <c r="D58" i="7" s="1"/>
  <c r="E58" i="7"/>
  <c r="H58" i="7"/>
  <c r="L58" i="7"/>
  <c r="T58" i="7"/>
  <c r="V58" i="7"/>
  <c r="B59" i="7"/>
  <c r="E59" i="7" s="1"/>
  <c r="G59" i="7"/>
  <c r="L59" i="7"/>
  <c r="M59" i="7" s="1"/>
  <c r="O59" i="7"/>
  <c r="T59" i="7"/>
  <c r="V59" i="7" s="1"/>
  <c r="B60" i="7"/>
  <c r="L60" i="7"/>
  <c r="M60" i="7"/>
  <c r="N60" i="7"/>
  <c r="O60" i="7"/>
  <c r="P60" i="7"/>
  <c r="T60" i="7"/>
  <c r="W60" i="7" s="1"/>
  <c r="V60" i="7"/>
  <c r="B61" i="7"/>
  <c r="G61" i="7" s="1"/>
  <c r="L61" i="7"/>
  <c r="M61" i="7"/>
  <c r="T61" i="7"/>
  <c r="V61" i="7" s="1"/>
  <c r="B62" i="7"/>
  <c r="H62" i="7" s="1"/>
  <c r="D62" i="7"/>
  <c r="F62" i="7"/>
  <c r="L62" i="7"/>
  <c r="T62" i="7"/>
  <c r="B63" i="7"/>
  <c r="G63" i="7" s="1"/>
  <c r="L63" i="7"/>
  <c r="M63" i="7" s="1"/>
  <c r="N63" i="7"/>
  <c r="P63" i="7"/>
  <c r="T63" i="7"/>
  <c r="U63" i="7"/>
  <c r="V63" i="7"/>
  <c r="W63" i="7"/>
  <c r="X63" i="7"/>
  <c r="B64" i="7"/>
  <c r="L64" i="7"/>
  <c r="N64" i="7" s="1"/>
  <c r="M64" i="7"/>
  <c r="O64" i="7"/>
  <c r="T64" i="7"/>
  <c r="X64" i="7"/>
  <c r="B65" i="7"/>
  <c r="F65" i="7" s="1"/>
  <c r="L65" i="7"/>
  <c r="T65" i="7"/>
  <c r="B66" i="7"/>
  <c r="L66" i="7"/>
  <c r="M66" i="7"/>
  <c r="O66" i="7"/>
  <c r="T66" i="7"/>
  <c r="W66" i="7" s="1"/>
  <c r="V66" i="7"/>
  <c r="B67" i="7"/>
  <c r="E67" i="7" s="1"/>
  <c r="G67" i="7"/>
  <c r="L67" i="7"/>
  <c r="T67" i="7"/>
  <c r="W67" i="7" s="1"/>
  <c r="U67" i="7"/>
  <c r="B68" i="7"/>
  <c r="H68" i="7" s="1"/>
  <c r="C68" i="7"/>
  <c r="L68" i="7"/>
  <c r="M68" i="7"/>
  <c r="N68" i="7"/>
  <c r="O68" i="7"/>
  <c r="P68" i="7"/>
  <c r="T68" i="7"/>
  <c r="B69" i="7"/>
  <c r="G69" i="7" s="1"/>
  <c r="L69" i="7"/>
  <c r="O69" i="7" s="1"/>
  <c r="M69" i="7"/>
  <c r="N69" i="7"/>
  <c r="P69" i="7"/>
  <c r="T69" i="7"/>
  <c r="V69" i="7" s="1"/>
  <c r="U69" i="7"/>
  <c r="W69" i="7"/>
  <c r="B70" i="7"/>
  <c r="F70" i="7" s="1"/>
  <c r="D70" i="7"/>
  <c r="E70" i="7"/>
  <c r="H70" i="7"/>
  <c r="L70" i="7"/>
  <c r="N70" i="7" s="1"/>
  <c r="O70" i="7"/>
  <c r="T70" i="7"/>
  <c r="B71" i="7"/>
  <c r="E71" i="7" s="1"/>
  <c r="G71" i="7"/>
  <c r="L71" i="7"/>
  <c r="M71" i="7" s="1"/>
  <c r="N71" i="7"/>
  <c r="O71" i="7"/>
  <c r="P71" i="7"/>
  <c r="T71" i="7"/>
  <c r="U71" i="7" s="1"/>
  <c r="X71" i="7"/>
  <c r="B72" i="7"/>
  <c r="E72" i="7" s="1"/>
  <c r="D72" i="7"/>
  <c r="L72" i="7"/>
  <c r="M72" i="7"/>
  <c r="N72" i="7"/>
  <c r="O72" i="7"/>
  <c r="P72" i="7"/>
  <c r="T72" i="7"/>
  <c r="U72" i="7" s="1"/>
  <c r="B73" i="7"/>
  <c r="F73" i="7" s="1"/>
  <c r="C73" i="7"/>
  <c r="E73" i="7"/>
  <c r="L73" i="7"/>
  <c r="O73" i="7" s="1"/>
  <c r="N73" i="7"/>
  <c r="T73" i="7"/>
  <c r="V73" i="7" s="1"/>
  <c r="W73" i="7"/>
  <c r="B74" i="7"/>
  <c r="D74" i="7"/>
  <c r="H74" i="7"/>
  <c r="L74" i="7"/>
  <c r="N74" i="7" s="1"/>
  <c r="M74" i="7"/>
  <c r="O74" i="7"/>
  <c r="P74" i="7"/>
  <c r="T74" i="7"/>
  <c r="X74" i="7" s="1"/>
  <c r="B75" i="7"/>
  <c r="G75" i="7" s="1"/>
  <c r="C75" i="7"/>
  <c r="L75" i="7"/>
  <c r="T75" i="7"/>
  <c r="B76" i="7"/>
  <c r="F76" i="7"/>
  <c r="L76" i="7"/>
  <c r="O76" i="7"/>
  <c r="P76" i="7"/>
  <c r="T76" i="7"/>
  <c r="B77" i="7"/>
  <c r="C77" i="7" s="1"/>
  <c r="F77" i="7"/>
  <c r="L77" i="7"/>
  <c r="P77" i="7" s="1"/>
  <c r="T77" i="7"/>
  <c r="W77" i="7" s="1"/>
  <c r="B78" i="7"/>
  <c r="D78" i="7" s="1"/>
  <c r="L78" i="7"/>
  <c r="N78" i="7" s="1"/>
  <c r="T78" i="7"/>
  <c r="B79" i="7"/>
  <c r="C79" i="7"/>
  <c r="F79" i="7"/>
  <c r="L79" i="7"/>
  <c r="T79" i="7"/>
  <c r="V79" i="7" s="1"/>
  <c r="U79" i="7"/>
  <c r="B80" i="7"/>
  <c r="F80" i="7"/>
  <c r="L80" i="7"/>
  <c r="N80" i="7" s="1"/>
  <c r="M80" i="7"/>
  <c r="O80" i="7"/>
  <c r="P80" i="7"/>
  <c r="T80" i="7"/>
  <c r="X80" i="7"/>
  <c r="B81" i="7"/>
  <c r="D81" i="7" s="1"/>
  <c r="C81" i="7"/>
  <c r="L81" i="7"/>
  <c r="P81" i="7"/>
  <c r="T81" i="7"/>
  <c r="U81" i="7" s="1"/>
  <c r="X81" i="7"/>
  <c r="B82" i="7"/>
  <c r="E82" i="7" s="1"/>
  <c r="D82" i="7"/>
  <c r="L82" i="7"/>
  <c r="M82" i="7"/>
  <c r="N82" i="7"/>
  <c r="O82" i="7"/>
  <c r="P82" i="7"/>
  <c r="T82" i="7"/>
  <c r="W82" i="7" s="1"/>
  <c r="B83" i="7"/>
  <c r="D83" i="7" s="1"/>
  <c r="C83" i="7"/>
  <c r="G83" i="7"/>
  <c r="L83" i="7"/>
  <c r="O83" i="7" s="1"/>
  <c r="N83" i="7"/>
  <c r="P83" i="7"/>
  <c r="T83" i="7"/>
  <c r="V83" i="7" s="1"/>
  <c r="U83" i="7"/>
  <c r="B84" i="7"/>
  <c r="F84" i="7"/>
  <c r="L84" i="7"/>
  <c r="N84" i="7" s="1"/>
  <c r="M84" i="7"/>
  <c r="T84" i="7"/>
  <c r="X84" i="7"/>
  <c r="B85" i="7"/>
  <c r="C85" i="7"/>
  <c r="D85" i="7"/>
  <c r="E85" i="7"/>
  <c r="F85" i="7"/>
  <c r="G85" i="7"/>
  <c r="H85" i="7"/>
  <c r="L85" i="7"/>
  <c r="T85" i="7"/>
  <c r="U85" i="7"/>
  <c r="V85" i="7"/>
  <c r="W85" i="7"/>
  <c r="X85" i="7"/>
  <c r="B86" i="7"/>
  <c r="E86" i="7" s="1"/>
  <c r="D86" i="7"/>
  <c r="F86" i="7"/>
  <c r="L86" i="7"/>
  <c r="O86" i="7" s="1"/>
  <c r="M86" i="7"/>
  <c r="N86" i="7"/>
  <c r="P86" i="7"/>
  <c r="T86" i="7"/>
  <c r="W86" i="7" s="1"/>
  <c r="V86" i="7"/>
  <c r="B87" i="7"/>
  <c r="D87" i="7" s="1"/>
  <c r="C87" i="7"/>
  <c r="L87" i="7"/>
  <c r="O87" i="7" s="1"/>
  <c r="N87" i="7"/>
  <c r="T87" i="7"/>
  <c r="V87" i="7" s="1"/>
  <c r="U87" i="7"/>
  <c r="W87" i="7"/>
  <c r="B88" i="7"/>
  <c r="F88" i="7" s="1"/>
  <c r="L88" i="7"/>
  <c r="N88" i="7" s="1"/>
  <c r="T88" i="7"/>
  <c r="X88" i="7" s="1"/>
  <c r="B89" i="7"/>
  <c r="E89" i="7" s="1"/>
  <c r="G89" i="7"/>
  <c r="L89" i="7"/>
  <c r="P89" i="7"/>
  <c r="T89" i="7"/>
  <c r="V89" i="7" s="1"/>
  <c r="B90" i="7"/>
  <c r="E90" i="7" s="1"/>
  <c r="L90" i="7"/>
  <c r="M90" i="7" s="1"/>
  <c r="P90" i="7"/>
  <c r="T90" i="7"/>
  <c r="W90" i="7" s="1"/>
  <c r="V90" i="7"/>
  <c r="X90" i="7"/>
  <c r="B91" i="7"/>
  <c r="D91" i="7" s="1"/>
  <c r="G91" i="7"/>
  <c r="L91" i="7"/>
  <c r="O91" i="7" s="1"/>
  <c r="N91" i="7"/>
  <c r="P91" i="7"/>
  <c r="T91" i="7"/>
  <c r="V91" i="7" s="1"/>
  <c r="B92" i="7"/>
  <c r="F92" i="7" s="1"/>
  <c r="L92" i="7"/>
  <c r="N92" i="7" s="1"/>
  <c r="M92" i="7"/>
  <c r="O92" i="7"/>
  <c r="T92" i="7"/>
  <c r="X92" i="7"/>
  <c r="B93" i="7"/>
  <c r="C93" i="7" s="1"/>
  <c r="F93" i="7"/>
  <c r="L93" i="7"/>
  <c r="T93" i="7"/>
  <c r="U93" i="7" s="1"/>
  <c r="B94" i="7"/>
  <c r="E94" i="7" s="1"/>
  <c r="D94" i="7"/>
  <c r="F94" i="7"/>
  <c r="L94" i="7"/>
  <c r="M94" i="7"/>
  <c r="N94" i="7"/>
  <c r="O94" i="7"/>
  <c r="P94" i="7"/>
  <c r="T94" i="7"/>
  <c r="W94" i="7" s="1"/>
  <c r="V94" i="7"/>
  <c r="B95" i="7"/>
  <c r="D95" i="7" s="1"/>
  <c r="C95" i="7"/>
  <c r="E95" i="7"/>
  <c r="G95" i="7"/>
  <c r="L95" i="7"/>
  <c r="O95" i="7" s="1"/>
  <c r="N95" i="7"/>
  <c r="P95" i="7"/>
  <c r="T95" i="7"/>
  <c r="V95" i="7" s="1"/>
  <c r="U95" i="7"/>
  <c r="W95" i="7"/>
  <c r="B96" i="7"/>
  <c r="F96" i="7"/>
  <c r="L96" i="7"/>
  <c r="N96" i="7" s="1"/>
  <c r="M96" i="7"/>
  <c r="T96" i="7"/>
  <c r="X96" i="7"/>
  <c r="B97" i="7"/>
  <c r="C97" i="7" s="1"/>
  <c r="F97" i="7"/>
  <c r="L97" i="7"/>
  <c r="P97" i="7" s="1"/>
  <c r="T97" i="7"/>
  <c r="U97" i="7" s="1"/>
  <c r="X97" i="7"/>
  <c r="B98" i="7"/>
  <c r="E98" i="7" s="1"/>
  <c r="D98" i="7"/>
  <c r="F98" i="7"/>
  <c r="L98" i="7"/>
  <c r="O98" i="7" s="1"/>
  <c r="M98" i="7"/>
  <c r="N98" i="7"/>
  <c r="P98" i="7"/>
  <c r="T98" i="7"/>
  <c r="W98" i="7" s="1"/>
  <c r="B99" i="7"/>
  <c r="D99" i="7" s="1"/>
  <c r="C99" i="7"/>
  <c r="E99" i="7"/>
  <c r="L99" i="7"/>
  <c r="O99" i="7" s="1"/>
  <c r="N99" i="7"/>
  <c r="T99" i="7"/>
  <c r="V99" i="7" s="1"/>
  <c r="B100" i="7"/>
  <c r="F100" i="7"/>
  <c r="L100" i="7"/>
  <c r="N100" i="7" s="1"/>
  <c r="T100" i="7"/>
  <c r="X100" i="7" s="1"/>
  <c r="C48" i="7" l="1"/>
  <c r="G48" i="7"/>
  <c r="G49" i="7"/>
  <c r="C49" i="7"/>
  <c r="C40" i="7"/>
  <c r="F89" i="7"/>
  <c r="J89" i="7" s="1"/>
  <c r="X77" i="7"/>
  <c r="E77" i="7"/>
  <c r="I77" i="7" s="1"/>
  <c r="W71" i="7"/>
  <c r="W99" i="7"/>
  <c r="X89" i="7"/>
  <c r="D89" i="7"/>
  <c r="X56" i="7"/>
  <c r="E56" i="7"/>
  <c r="I56" i="7" s="1"/>
  <c r="F52" i="7"/>
  <c r="E48" i="7"/>
  <c r="W47" i="7"/>
  <c r="F38" i="7"/>
  <c r="V36" i="7"/>
  <c r="W97" i="7"/>
  <c r="E97" i="7"/>
  <c r="I97" i="7" s="1"/>
  <c r="F48" i="7"/>
  <c r="V97" i="7"/>
  <c r="H97" i="7"/>
  <c r="D97" i="7"/>
  <c r="G87" i="7"/>
  <c r="X83" i="7"/>
  <c r="F83" i="7"/>
  <c r="X82" i="7"/>
  <c r="H82" i="7"/>
  <c r="G81" i="7"/>
  <c r="H78" i="7"/>
  <c r="V77" i="7"/>
  <c r="H77" i="7"/>
  <c r="D77" i="7"/>
  <c r="V71" i="7"/>
  <c r="Y71" i="7" s="1"/>
  <c r="U99" i="7"/>
  <c r="Y99" i="7" s="1"/>
  <c r="G99" i="7"/>
  <c r="V98" i="7"/>
  <c r="G97" i="7"/>
  <c r="X95" i="7"/>
  <c r="Z95" i="7" s="1"/>
  <c r="F95" i="7"/>
  <c r="X94" i="7"/>
  <c r="H94" i="7"/>
  <c r="I94" i="7" s="1"/>
  <c r="X93" i="7"/>
  <c r="U89" i="7"/>
  <c r="Y89" i="7" s="1"/>
  <c r="H89" i="7"/>
  <c r="C89" i="7"/>
  <c r="E87" i="7"/>
  <c r="W83" i="7"/>
  <c r="Z83" i="7" s="1"/>
  <c r="E83" i="7"/>
  <c r="V82" i="7"/>
  <c r="F82" i="7"/>
  <c r="I82" i="7" s="1"/>
  <c r="F81" i="7"/>
  <c r="U77" i="7"/>
  <c r="G77" i="7"/>
  <c r="J77" i="7" s="1"/>
  <c r="X69" i="7"/>
  <c r="Y69" i="7" s="1"/>
  <c r="U61" i="7"/>
  <c r="Y61" i="7" s="1"/>
  <c r="V56" i="7"/>
  <c r="H56" i="7"/>
  <c r="D52" i="7"/>
  <c r="H48" i="7"/>
  <c r="V47" i="7"/>
  <c r="H47" i="7"/>
  <c r="W46" i="7"/>
  <c r="U41" i="7"/>
  <c r="E38" i="7"/>
  <c r="U36" i="7"/>
  <c r="Y36" i="7" s="1"/>
  <c r="U31" i="7"/>
  <c r="Y31" i="7" s="1"/>
  <c r="X29" i="7"/>
  <c r="U28" i="7"/>
  <c r="Y28" i="7" s="1"/>
  <c r="C38" i="7"/>
  <c r="V75" i="7"/>
  <c r="X75" i="7"/>
  <c r="D63" i="7"/>
  <c r="H63" i="7"/>
  <c r="E60" i="7"/>
  <c r="C60" i="7"/>
  <c r="W49" i="7"/>
  <c r="V49" i="7"/>
  <c r="X49" i="7"/>
  <c r="N35" i="7"/>
  <c r="O35" i="7"/>
  <c r="P35" i="7"/>
  <c r="D34" i="7"/>
  <c r="E34" i="7"/>
  <c r="F34" i="7"/>
  <c r="C34" i="7"/>
  <c r="P32" i="7"/>
  <c r="N32" i="7"/>
  <c r="W93" i="7"/>
  <c r="E93" i="7"/>
  <c r="F91" i="7"/>
  <c r="O90" i="7"/>
  <c r="H90" i="7"/>
  <c r="P88" i="7"/>
  <c r="W81" i="7"/>
  <c r="P78" i="7"/>
  <c r="O75" i="7"/>
  <c r="N75" i="7"/>
  <c r="W72" i="7"/>
  <c r="X72" i="7"/>
  <c r="F71" i="7"/>
  <c r="U70" i="7"/>
  <c r="W70" i="7"/>
  <c r="E68" i="7"/>
  <c r="D68" i="7"/>
  <c r="F63" i="7"/>
  <c r="H60" i="7"/>
  <c r="X59" i="7"/>
  <c r="W53" i="7"/>
  <c r="V53" i="7"/>
  <c r="U52" i="7"/>
  <c r="V52" i="7"/>
  <c r="E45" i="7"/>
  <c r="C45" i="7"/>
  <c r="H45" i="7"/>
  <c r="D45" i="7"/>
  <c r="D44" i="7"/>
  <c r="H44" i="7"/>
  <c r="E44" i="7"/>
  <c r="N43" i="7"/>
  <c r="O43" i="7"/>
  <c r="P43" i="7"/>
  <c r="P96" i="7"/>
  <c r="W91" i="7"/>
  <c r="N90" i="7"/>
  <c r="F90" i="7"/>
  <c r="W89" i="7"/>
  <c r="V81" i="7"/>
  <c r="Y81" i="7" s="1"/>
  <c r="E81" i="7"/>
  <c r="X79" i="7"/>
  <c r="Y79" i="7" s="1"/>
  <c r="O79" i="7"/>
  <c r="N79" i="7"/>
  <c r="D79" i="7"/>
  <c r="E79" i="7"/>
  <c r="O78" i="7"/>
  <c r="W75" i="7"/>
  <c r="E74" i="7"/>
  <c r="F74" i="7"/>
  <c r="D71" i="7"/>
  <c r="G68" i="7"/>
  <c r="X67" i="7"/>
  <c r="D67" i="7"/>
  <c r="N66" i="7"/>
  <c r="Q66" i="7" s="1"/>
  <c r="P66" i="7"/>
  <c r="G65" i="7"/>
  <c r="W64" i="7"/>
  <c r="U64" i="7"/>
  <c r="E63" i="7"/>
  <c r="G60" i="7"/>
  <c r="W59" i="7"/>
  <c r="D59" i="7"/>
  <c r="U58" i="7"/>
  <c r="Y58" i="7" s="1"/>
  <c r="X58" i="7"/>
  <c r="N56" i="7"/>
  <c r="P56" i="7"/>
  <c r="V50" i="7"/>
  <c r="W50" i="7"/>
  <c r="E50" i="7"/>
  <c r="F50" i="7"/>
  <c r="M48" i="7"/>
  <c r="N48" i="7"/>
  <c r="O48" i="7"/>
  <c r="N47" i="7"/>
  <c r="O47" i="7"/>
  <c r="G44" i="7"/>
  <c r="D40" i="7"/>
  <c r="H40" i="7"/>
  <c r="E40" i="7"/>
  <c r="F33" i="7"/>
  <c r="H33" i="7"/>
  <c r="W78" i="7"/>
  <c r="V78" i="7"/>
  <c r="N58" i="7"/>
  <c r="M58" i="7"/>
  <c r="U48" i="7"/>
  <c r="V48" i="7"/>
  <c r="V44" i="7"/>
  <c r="W44" i="7"/>
  <c r="P100" i="7"/>
  <c r="X91" i="7"/>
  <c r="D75" i="7"/>
  <c r="E75" i="7"/>
  <c r="F67" i="7"/>
  <c r="C61" i="7"/>
  <c r="E61" i="7"/>
  <c r="F59" i="7"/>
  <c r="V40" i="7"/>
  <c r="Y40" i="7" s="1"/>
  <c r="W40" i="7"/>
  <c r="N39" i="7"/>
  <c r="M39" i="7"/>
  <c r="O39" i="7"/>
  <c r="V38" i="7"/>
  <c r="U38" i="7"/>
  <c r="W38" i="7"/>
  <c r="C36" i="7"/>
  <c r="G36" i="7"/>
  <c r="D36" i="7"/>
  <c r="H36" i="7"/>
  <c r="O100" i="7"/>
  <c r="V93" i="7"/>
  <c r="H93" i="7"/>
  <c r="D93" i="7"/>
  <c r="E91" i="7"/>
  <c r="O88" i="7"/>
  <c r="P84" i="7"/>
  <c r="M100" i="7"/>
  <c r="X99" i="7"/>
  <c r="P99" i="7"/>
  <c r="F99" i="7"/>
  <c r="X98" i="7"/>
  <c r="H98" i="7"/>
  <c r="I98" i="7" s="1"/>
  <c r="O96" i="7"/>
  <c r="R96" i="7" s="1"/>
  <c r="G93" i="7"/>
  <c r="P92" i="7"/>
  <c r="Q92" i="7" s="1"/>
  <c r="U91" i="7"/>
  <c r="Y91" i="7" s="1"/>
  <c r="C91" i="7"/>
  <c r="D90" i="7"/>
  <c r="M88" i="7"/>
  <c r="X87" i="7"/>
  <c r="Z87" i="7" s="1"/>
  <c r="P87" i="7"/>
  <c r="F87" i="7"/>
  <c r="X86" i="7"/>
  <c r="H86" i="7"/>
  <c r="I86" i="7" s="1"/>
  <c r="O84" i="7"/>
  <c r="R84" i="7" s="1"/>
  <c r="H81" i="7"/>
  <c r="W79" i="7"/>
  <c r="G79" i="7"/>
  <c r="X78" i="7"/>
  <c r="M78" i="7"/>
  <c r="E78" i="7"/>
  <c r="F78" i="7"/>
  <c r="N76" i="7"/>
  <c r="M76" i="7"/>
  <c r="U75" i="7"/>
  <c r="F75" i="7"/>
  <c r="W74" i="7"/>
  <c r="V74" i="7"/>
  <c r="G73" i="7"/>
  <c r="V72" i="7"/>
  <c r="Y72" i="7" s="1"/>
  <c r="G72" i="7"/>
  <c r="H71" i="7"/>
  <c r="I71" i="7" s="1"/>
  <c r="C71" i="7"/>
  <c r="F68" i="7"/>
  <c r="V67" i="7"/>
  <c r="Z67" i="7" s="1"/>
  <c r="H67" i="7"/>
  <c r="C67" i="7"/>
  <c r="U66" i="7"/>
  <c r="Z66" i="7" s="1"/>
  <c r="X66" i="7"/>
  <c r="C65" i="7"/>
  <c r="P64" i="7"/>
  <c r="R64" i="7" s="1"/>
  <c r="C63" i="7"/>
  <c r="X61" i="7"/>
  <c r="O61" i="7"/>
  <c r="P61" i="7"/>
  <c r="F60" i="7"/>
  <c r="U59" i="7"/>
  <c r="Y59" i="7" s="1"/>
  <c r="H59" i="7"/>
  <c r="C59" i="7"/>
  <c r="P58" i="7"/>
  <c r="X52" i="7"/>
  <c r="O50" i="7"/>
  <c r="M50" i="7"/>
  <c r="N50" i="7"/>
  <c r="U49" i="7"/>
  <c r="W48" i="7"/>
  <c r="G45" i="7"/>
  <c r="U44" i="7"/>
  <c r="F44" i="7"/>
  <c r="U43" i="7"/>
  <c r="W43" i="7"/>
  <c r="X43" i="7"/>
  <c r="X40" i="7"/>
  <c r="G40" i="7"/>
  <c r="V39" i="7"/>
  <c r="X39" i="7"/>
  <c r="D39" i="7"/>
  <c r="F39" i="7"/>
  <c r="D37" i="7"/>
  <c r="F36" i="7"/>
  <c r="I36" i="7" s="1"/>
  <c r="M35" i="7"/>
  <c r="G34" i="7"/>
  <c r="W31" i="7"/>
  <c r="X28" i="7"/>
  <c r="W27" i="7"/>
  <c r="U27" i="7"/>
  <c r="X46" i="7"/>
  <c r="Y46" i="7" s="1"/>
  <c r="P46" i="7"/>
  <c r="X34" i="7"/>
  <c r="X31" i="7"/>
  <c r="X27" i="7"/>
  <c r="X33" i="7"/>
  <c r="W32" i="7"/>
  <c r="U32" i="7"/>
  <c r="X32" i="7"/>
  <c r="W30" i="7"/>
  <c r="U30" i="7"/>
  <c r="X30" i="7"/>
  <c r="M85" i="7"/>
  <c r="N85" i="7"/>
  <c r="O85" i="7"/>
  <c r="E35" i="7"/>
  <c r="C35" i="7"/>
  <c r="G35" i="7"/>
  <c r="D35" i="7"/>
  <c r="F35" i="7"/>
  <c r="H35" i="7"/>
  <c r="U100" i="7"/>
  <c r="V100" i="7"/>
  <c r="W100" i="7"/>
  <c r="C96" i="7"/>
  <c r="G96" i="7"/>
  <c r="D96" i="7"/>
  <c r="H96" i="7"/>
  <c r="E96" i="7"/>
  <c r="U92" i="7"/>
  <c r="V92" i="7"/>
  <c r="W92" i="7"/>
  <c r="C88" i="7"/>
  <c r="G88" i="7"/>
  <c r="D88" i="7"/>
  <c r="H88" i="7"/>
  <c r="E88" i="7"/>
  <c r="U84" i="7"/>
  <c r="V84" i="7"/>
  <c r="W84" i="7"/>
  <c r="C80" i="7"/>
  <c r="G80" i="7"/>
  <c r="D80" i="7"/>
  <c r="H80" i="7"/>
  <c r="E80" i="7"/>
  <c r="D69" i="7"/>
  <c r="H69" i="7"/>
  <c r="C69" i="7"/>
  <c r="E69" i="7"/>
  <c r="F69" i="7"/>
  <c r="V65" i="7"/>
  <c r="U65" i="7"/>
  <c r="W65" i="7"/>
  <c r="X65" i="7"/>
  <c r="N62" i="7"/>
  <c r="M62" i="7"/>
  <c r="O62" i="7"/>
  <c r="P62" i="7"/>
  <c r="E53" i="7"/>
  <c r="D53" i="7"/>
  <c r="F53" i="7"/>
  <c r="C53" i="7"/>
  <c r="G53" i="7"/>
  <c r="H53" i="7"/>
  <c r="C66" i="7"/>
  <c r="G66" i="7"/>
  <c r="D66" i="7"/>
  <c r="E66" i="7"/>
  <c r="F66" i="7"/>
  <c r="E64" i="7"/>
  <c r="C64" i="7"/>
  <c r="H64" i="7"/>
  <c r="D64" i="7"/>
  <c r="F64" i="7"/>
  <c r="U62" i="7"/>
  <c r="V62" i="7"/>
  <c r="W62" i="7"/>
  <c r="X62" i="7"/>
  <c r="O54" i="7"/>
  <c r="N54" i="7"/>
  <c r="P54" i="7"/>
  <c r="M54" i="7"/>
  <c r="C43" i="7"/>
  <c r="G43" i="7"/>
  <c r="D43" i="7"/>
  <c r="E43" i="7"/>
  <c r="F43" i="7"/>
  <c r="H43" i="7"/>
  <c r="M89" i="7"/>
  <c r="N89" i="7"/>
  <c r="O89" i="7"/>
  <c r="M81" i="7"/>
  <c r="N81" i="7"/>
  <c r="O81" i="7"/>
  <c r="C76" i="7"/>
  <c r="G76" i="7"/>
  <c r="D76" i="7"/>
  <c r="H76" i="7"/>
  <c r="E76" i="7"/>
  <c r="W68" i="7"/>
  <c r="U68" i="7"/>
  <c r="V68" i="7"/>
  <c r="X68" i="7"/>
  <c r="O65" i="7"/>
  <c r="M65" i="7"/>
  <c r="N65" i="7"/>
  <c r="P65" i="7"/>
  <c r="C55" i="7"/>
  <c r="G55" i="7"/>
  <c r="E55" i="7"/>
  <c r="F55" i="7"/>
  <c r="D55" i="7"/>
  <c r="H55" i="7"/>
  <c r="M93" i="7"/>
  <c r="N93" i="7"/>
  <c r="O93" i="7"/>
  <c r="U76" i="7"/>
  <c r="V76" i="7"/>
  <c r="W76" i="7"/>
  <c r="O40" i="7"/>
  <c r="M40" i="7"/>
  <c r="N40" i="7"/>
  <c r="P40" i="7"/>
  <c r="M97" i="7"/>
  <c r="N97" i="7"/>
  <c r="O97" i="7"/>
  <c r="C100" i="7"/>
  <c r="G100" i="7"/>
  <c r="D100" i="7"/>
  <c r="H100" i="7"/>
  <c r="E100" i="7"/>
  <c r="U96" i="7"/>
  <c r="V96" i="7"/>
  <c r="W96" i="7"/>
  <c r="P93" i="7"/>
  <c r="C92" i="7"/>
  <c r="G92" i="7"/>
  <c r="D92" i="7"/>
  <c r="H92" i="7"/>
  <c r="E92" i="7"/>
  <c r="U88" i="7"/>
  <c r="V88" i="7"/>
  <c r="W88" i="7"/>
  <c r="P85" i="7"/>
  <c r="C84" i="7"/>
  <c r="G84" i="7"/>
  <c r="D84" i="7"/>
  <c r="H84" i="7"/>
  <c r="E84" i="7"/>
  <c r="U80" i="7"/>
  <c r="V80" i="7"/>
  <c r="W80" i="7"/>
  <c r="M77" i="7"/>
  <c r="N77" i="7"/>
  <c r="O77" i="7"/>
  <c r="X76" i="7"/>
  <c r="M67" i="7"/>
  <c r="N67" i="7"/>
  <c r="O67" i="7"/>
  <c r="P67" i="7"/>
  <c r="H66" i="7"/>
  <c r="G64" i="7"/>
  <c r="M30" i="7"/>
  <c r="N30" i="7"/>
  <c r="O30" i="7"/>
  <c r="P30" i="7"/>
  <c r="M99" i="7"/>
  <c r="R99" i="7" s="1"/>
  <c r="U98" i="7"/>
  <c r="G98" i="7"/>
  <c r="C98" i="7"/>
  <c r="M95" i="7"/>
  <c r="Q95" i="7" s="1"/>
  <c r="U94" i="7"/>
  <c r="Y94" i="7" s="1"/>
  <c r="G94" i="7"/>
  <c r="J94" i="7" s="1"/>
  <c r="C94" i="7"/>
  <c r="M91" i="7"/>
  <c r="R91" i="7" s="1"/>
  <c r="U90" i="7"/>
  <c r="Z90" i="7" s="1"/>
  <c r="G90" i="7"/>
  <c r="J90" i="7" s="1"/>
  <c r="C90" i="7"/>
  <c r="M87" i="7"/>
  <c r="R87" i="7" s="1"/>
  <c r="U86" i="7"/>
  <c r="G86" i="7"/>
  <c r="C86" i="7"/>
  <c r="M83" i="7"/>
  <c r="R83" i="7" s="1"/>
  <c r="U82" i="7"/>
  <c r="G82" i="7"/>
  <c r="C82" i="7"/>
  <c r="M79" i="7"/>
  <c r="U78" i="7"/>
  <c r="G78" i="7"/>
  <c r="C78" i="7"/>
  <c r="M75" i="7"/>
  <c r="U74" i="7"/>
  <c r="Y74" i="7" s="1"/>
  <c r="G74" i="7"/>
  <c r="J74" i="7" s="1"/>
  <c r="C74" i="7"/>
  <c r="U73" i="7"/>
  <c r="M73" i="7"/>
  <c r="H72" i="7"/>
  <c r="C72" i="7"/>
  <c r="V70" i="7"/>
  <c r="M70" i="7"/>
  <c r="D65" i="7"/>
  <c r="H65" i="7"/>
  <c r="C62" i="7"/>
  <c r="G62" i="7"/>
  <c r="U60" i="7"/>
  <c r="N59" i="7"/>
  <c r="U57" i="7"/>
  <c r="M57" i="7"/>
  <c r="N55" i="7"/>
  <c r="M55" i="7"/>
  <c r="O55" i="7"/>
  <c r="U51" i="7"/>
  <c r="W51" i="7"/>
  <c r="X51" i="7"/>
  <c r="D46" i="7"/>
  <c r="H46" i="7"/>
  <c r="C46" i="7"/>
  <c r="E46" i="7"/>
  <c r="F46" i="7"/>
  <c r="V42" i="7"/>
  <c r="U42" i="7"/>
  <c r="W42" i="7"/>
  <c r="X42" i="7"/>
  <c r="P75" i="7"/>
  <c r="D61" i="7"/>
  <c r="H61" i="7"/>
  <c r="C58" i="7"/>
  <c r="G58" i="7"/>
  <c r="E57" i="7"/>
  <c r="C57" i="7"/>
  <c r="H57" i="7"/>
  <c r="M56" i="7"/>
  <c r="O56" i="7"/>
  <c r="V54" i="7"/>
  <c r="W54" i="7"/>
  <c r="X54" i="7"/>
  <c r="W45" i="7"/>
  <c r="U45" i="7"/>
  <c r="V45" i="7"/>
  <c r="X45" i="7"/>
  <c r="O42" i="7"/>
  <c r="M42" i="7"/>
  <c r="N42" i="7"/>
  <c r="P42" i="7"/>
  <c r="E41" i="7"/>
  <c r="C41" i="7"/>
  <c r="H41" i="7"/>
  <c r="D41" i="7"/>
  <c r="F41" i="7"/>
  <c r="P79" i="7"/>
  <c r="H99" i="7"/>
  <c r="H95" i="7"/>
  <c r="H91" i="7"/>
  <c r="H87" i="7"/>
  <c r="H83" i="7"/>
  <c r="H79" i="7"/>
  <c r="H75" i="7"/>
  <c r="X73" i="7"/>
  <c r="P73" i="7"/>
  <c r="D73" i="7"/>
  <c r="H73" i="7"/>
  <c r="I73" i="7" s="1"/>
  <c r="F72" i="7"/>
  <c r="X70" i="7"/>
  <c r="P70" i="7"/>
  <c r="C70" i="7"/>
  <c r="G70" i="7"/>
  <c r="J70" i="7" s="1"/>
  <c r="E65" i="7"/>
  <c r="V64" i="7"/>
  <c r="O63" i="7"/>
  <c r="R63" i="7" s="1"/>
  <c r="E62" i="7"/>
  <c r="I62" i="7" s="1"/>
  <c r="W61" i="7"/>
  <c r="Z61" i="7" s="1"/>
  <c r="N61" i="7"/>
  <c r="F61" i="7"/>
  <c r="X60" i="7"/>
  <c r="D60" i="7"/>
  <c r="P59" i="7"/>
  <c r="W58" i="7"/>
  <c r="O58" i="7"/>
  <c r="F58" i="7"/>
  <c r="X57" i="7"/>
  <c r="P57" i="7"/>
  <c r="G57" i="7"/>
  <c r="U55" i="7"/>
  <c r="V55" i="7"/>
  <c r="W55" i="7"/>
  <c r="M44" i="7"/>
  <c r="N44" i="7"/>
  <c r="O44" i="7"/>
  <c r="P44" i="7"/>
  <c r="W35" i="7"/>
  <c r="U35" i="7"/>
  <c r="V35" i="7"/>
  <c r="X35" i="7"/>
  <c r="D42" i="7"/>
  <c r="H42" i="7"/>
  <c r="M38" i="7"/>
  <c r="O38" i="7"/>
  <c r="U37" i="7"/>
  <c r="W37" i="7"/>
  <c r="M31" i="7"/>
  <c r="N31" i="7"/>
  <c r="O31" i="7"/>
  <c r="M27" i="7"/>
  <c r="N27" i="7"/>
  <c r="O27" i="7"/>
  <c r="D54" i="7"/>
  <c r="H54" i="7"/>
  <c r="P51" i="7"/>
  <c r="Q51" i="7" s="1"/>
  <c r="C51" i="7"/>
  <c r="G51" i="7"/>
  <c r="F42" i="7"/>
  <c r="X41" i="7"/>
  <c r="W39" i="7"/>
  <c r="U39" i="7"/>
  <c r="E39" i="7"/>
  <c r="C39" i="7"/>
  <c r="G39" i="7"/>
  <c r="C37" i="7"/>
  <c r="G37" i="7"/>
  <c r="E37" i="7"/>
  <c r="O36" i="7"/>
  <c r="M36" i="7"/>
  <c r="Q36" i="7" s="1"/>
  <c r="M32" i="7"/>
  <c r="Q32" i="7" s="1"/>
  <c r="O32" i="7"/>
  <c r="M28" i="7"/>
  <c r="N28" i="7"/>
  <c r="O28" i="7"/>
  <c r="F54" i="7"/>
  <c r="X53" i="7"/>
  <c r="Y53" i="7" s="1"/>
  <c r="P52" i="7"/>
  <c r="O51" i="7"/>
  <c r="F51" i="7"/>
  <c r="X50" i="7"/>
  <c r="P50" i="7"/>
  <c r="D50" i="7"/>
  <c r="H50" i="7"/>
  <c r="F49" i="7"/>
  <c r="J49" i="7" s="1"/>
  <c r="X47" i="7"/>
  <c r="P47" i="7"/>
  <c r="C47" i="7"/>
  <c r="G47" i="7"/>
  <c r="J47" i="7" s="1"/>
  <c r="E42" i="7"/>
  <c r="V41" i="7"/>
  <c r="P38" i="7"/>
  <c r="X37" i="7"/>
  <c r="H37" i="7"/>
  <c r="M34" i="7"/>
  <c r="Q34" i="7" s="1"/>
  <c r="O34" i="7"/>
  <c r="U33" i="7"/>
  <c r="W33" i="7"/>
  <c r="E33" i="7"/>
  <c r="G33" i="7"/>
  <c r="D33" i="7"/>
  <c r="E32" i="7"/>
  <c r="F32" i="7"/>
  <c r="M29" i="7"/>
  <c r="N29" i="7"/>
  <c r="O29" i="7"/>
  <c r="H38" i="7"/>
  <c r="H34" i="7"/>
  <c r="F31" i="7"/>
  <c r="F30" i="7"/>
  <c r="I30" i="7" s="1"/>
  <c r="F29" i="7"/>
  <c r="F28" i="7"/>
  <c r="F27" i="7"/>
  <c r="C33" i="7"/>
  <c r="H32" i="7"/>
  <c r="D32" i="7"/>
  <c r="G32" i="7"/>
  <c r="C32" i="7"/>
  <c r="H31" i="7"/>
  <c r="D31" i="7"/>
  <c r="G31" i="7"/>
  <c r="C31" i="7"/>
  <c r="H30" i="7"/>
  <c r="D30" i="7"/>
  <c r="G30" i="7"/>
  <c r="C30" i="7"/>
  <c r="R71" i="7"/>
  <c r="Y29" i="7"/>
  <c r="Q82" i="7"/>
  <c r="I47" i="7"/>
  <c r="H29" i="7"/>
  <c r="D29" i="7"/>
  <c r="G29" i="7"/>
  <c r="C29" i="7"/>
  <c r="Z29" i="7"/>
  <c r="Q78" i="7"/>
  <c r="Q74" i="7"/>
  <c r="H28" i="7"/>
  <c r="D28" i="7"/>
  <c r="G28" i="7"/>
  <c r="C28" i="7"/>
  <c r="Q86" i="7"/>
  <c r="R74" i="7"/>
  <c r="R86" i="7"/>
  <c r="I52" i="7"/>
  <c r="R46" i="7"/>
  <c r="H27" i="7"/>
  <c r="D27" i="7"/>
  <c r="G27" i="7"/>
  <c r="C27" i="7"/>
  <c r="Y87" i="7"/>
  <c r="Z34" i="7"/>
  <c r="Q98" i="7"/>
  <c r="Q96" i="7"/>
  <c r="Y95" i="7"/>
  <c r="Q94" i="7"/>
  <c r="R82" i="7"/>
  <c r="Q68" i="7"/>
  <c r="Q60" i="7"/>
  <c r="Y34" i="7"/>
  <c r="Q90" i="7"/>
  <c r="Q84" i="7"/>
  <c r="Q72" i="7"/>
  <c r="Q71" i="7"/>
  <c r="Q64" i="7"/>
  <c r="Y63" i="7"/>
  <c r="Q63" i="7"/>
  <c r="Q52" i="7"/>
  <c r="Z69" i="7"/>
  <c r="Y97" i="7"/>
  <c r="Y85" i="7"/>
  <c r="I85" i="7"/>
  <c r="R98" i="7"/>
  <c r="R94" i="7"/>
  <c r="Q46" i="7"/>
  <c r="J52" i="7"/>
  <c r="Q49" i="7"/>
  <c r="R49" i="7"/>
  <c r="Q41" i="7"/>
  <c r="R41" i="7"/>
  <c r="Q33" i="7"/>
  <c r="R33" i="7"/>
  <c r="R92" i="7"/>
  <c r="J85" i="7"/>
  <c r="I70" i="7"/>
  <c r="R43" i="7"/>
  <c r="Z85" i="7"/>
  <c r="Y83" i="7"/>
  <c r="Q80" i="7"/>
  <c r="R80" i="7"/>
  <c r="Q69" i="7"/>
  <c r="R69" i="7"/>
  <c r="Q53" i="7"/>
  <c r="R53" i="7"/>
  <c r="Q45" i="7"/>
  <c r="R45" i="7"/>
  <c r="Q37" i="7"/>
  <c r="R37" i="7"/>
  <c r="R72" i="7"/>
  <c r="R68" i="7"/>
  <c r="Z63" i="7"/>
  <c r="R60" i="7"/>
  <c r="R52" i="7"/>
  <c r="Q48" i="7" l="1"/>
  <c r="Q47" i="7"/>
  <c r="R90" i="7"/>
  <c r="J99" i="7"/>
  <c r="I38" i="7"/>
  <c r="Z99" i="7"/>
  <c r="Z89" i="7"/>
  <c r="Y67" i="7"/>
  <c r="Z58" i="7"/>
  <c r="Y50" i="7"/>
  <c r="Y78" i="7"/>
  <c r="Y38" i="7"/>
  <c r="J56" i="7"/>
  <c r="I89" i="7"/>
  <c r="I34" i="7"/>
  <c r="J95" i="7"/>
  <c r="I81" i="7"/>
  <c r="Y47" i="7"/>
  <c r="Z28" i="7"/>
  <c r="Y44" i="7"/>
  <c r="Q76" i="7"/>
  <c r="R76" i="7"/>
  <c r="R48" i="7"/>
  <c r="I74" i="7"/>
  <c r="J83" i="7"/>
  <c r="Z97" i="7"/>
  <c r="I48" i="7"/>
  <c r="J81" i="7"/>
  <c r="J38" i="7"/>
  <c r="J87" i="7"/>
  <c r="J60" i="7"/>
  <c r="J48" i="7"/>
  <c r="Y43" i="7"/>
  <c r="J68" i="7"/>
  <c r="Z36" i="7"/>
  <c r="R58" i="7"/>
  <c r="R78" i="7"/>
  <c r="Z81" i="7"/>
  <c r="I83" i="7"/>
  <c r="I40" i="7"/>
  <c r="I88" i="7"/>
  <c r="I96" i="7"/>
  <c r="I99" i="7"/>
  <c r="I39" i="7"/>
  <c r="I63" i="7"/>
  <c r="J71" i="7"/>
  <c r="J64" i="7"/>
  <c r="I43" i="7"/>
  <c r="J67" i="7"/>
  <c r="I80" i="7"/>
  <c r="I90" i="7"/>
  <c r="I59" i="7"/>
  <c r="J73" i="7"/>
  <c r="I93" i="7"/>
  <c r="I31" i="7"/>
  <c r="Y32" i="7"/>
  <c r="Z27" i="7"/>
  <c r="Z38" i="7"/>
  <c r="Q39" i="7"/>
  <c r="Q58" i="7"/>
  <c r="Q43" i="7"/>
  <c r="I64" i="7"/>
  <c r="J41" i="7"/>
  <c r="I67" i="7"/>
  <c r="I68" i="7"/>
  <c r="Q77" i="7"/>
  <c r="Q50" i="7"/>
  <c r="R66" i="7"/>
  <c r="Z72" i="7"/>
  <c r="R59" i="7"/>
  <c r="R47" i="7"/>
  <c r="R79" i="7"/>
  <c r="I65" i="7"/>
  <c r="Z48" i="7"/>
  <c r="J40" i="7"/>
  <c r="I50" i="7"/>
  <c r="I45" i="7"/>
  <c r="Y52" i="7"/>
  <c r="I60" i="7"/>
  <c r="Z93" i="7"/>
  <c r="Y77" i="7"/>
  <c r="Z82" i="7"/>
  <c r="Y56" i="7"/>
  <c r="Z71" i="7"/>
  <c r="Q56" i="7"/>
  <c r="Z59" i="7"/>
  <c r="Q88" i="7"/>
  <c r="Q35" i="7"/>
  <c r="I84" i="7"/>
  <c r="J78" i="7"/>
  <c r="Z31" i="7"/>
  <c r="Z43" i="7"/>
  <c r="J45" i="7"/>
  <c r="Y75" i="7"/>
  <c r="I78" i="7"/>
  <c r="R100" i="7"/>
  <c r="J36" i="7"/>
  <c r="Z44" i="7"/>
  <c r="J79" i="7"/>
  <c r="I44" i="7"/>
  <c r="Z49" i="7"/>
  <c r="J63" i="7"/>
  <c r="Z91" i="7"/>
  <c r="Z40" i="7"/>
  <c r="I61" i="7"/>
  <c r="J57" i="7"/>
  <c r="Y60" i="7"/>
  <c r="Z47" i="7"/>
  <c r="Z52" i="7"/>
  <c r="J62" i="7"/>
  <c r="Y48" i="7"/>
  <c r="Z56" i="7"/>
  <c r="Y93" i="7"/>
  <c r="Y51" i="7"/>
  <c r="Z78" i="7"/>
  <c r="J97" i="7"/>
  <c r="Z77" i="7"/>
  <c r="J75" i="7"/>
  <c r="I91" i="7"/>
  <c r="I72" i="7"/>
  <c r="J82" i="7"/>
  <c r="J86" i="7"/>
  <c r="J98" i="7"/>
  <c r="I87" i="7"/>
  <c r="I37" i="7"/>
  <c r="Y82" i="7"/>
  <c r="J65" i="7"/>
  <c r="J34" i="7"/>
  <c r="Y66" i="7"/>
  <c r="I29" i="7"/>
  <c r="Y73" i="7"/>
  <c r="I100" i="7"/>
  <c r="Z75" i="7"/>
  <c r="Z79" i="7"/>
  <c r="R35" i="7"/>
  <c r="Z46" i="7"/>
  <c r="R88" i="7"/>
  <c r="J93" i="7"/>
  <c r="J59" i="7"/>
  <c r="J72" i="7"/>
  <c r="Q100" i="7"/>
  <c r="J80" i="7"/>
  <c r="R39" i="7"/>
  <c r="Y49" i="7"/>
  <c r="I28" i="7"/>
  <c r="J50" i="7"/>
  <c r="J54" i="7"/>
  <c r="Q61" i="7"/>
  <c r="Z64" i="7"/>
  <c r="I79" i="7"/>
  <c r="Z86" i="7"/>
  <c r="Z98" i="7"/>
  <c r="J44" i="7"/>
  <c r="Y27" i="7"/>
  <c r="I32" i="7"/>
  <c r="I33" i="7"/>
  <c r="J28" i="7"/>
  <c r="R50" i="7"/>
  <c r="Y39" i="7"/>
  <c r="Z32" i="7"/>
  <c r="Y57" i="7"/>
  <c r="Q75" i="7"/>
  <c r="Q57" i="7"/>
  <c r="Q73" i="7"/>
  <c r="Y70" i="7"/>
  <c r="Y54" i="7"/>
  <c r="Q59" i="7"/>
  <c r="Z30" i="7"/>
  <c r="Z60" i="7"/>
  <c r="Y88" i="7"/>
  <c r="R36" i="7"/>
  <c r="R57" i="7"/>
  <c r="Q85" i="7"/>
  <c r="R73" i="7"/>
  <c r="Z94" i="7"/>
  <c r="Y30" i="7"/>
  <c r="Y86" i="7"/>
  <c r="Z74" i="7"/>
  <c r="Y98" i="7"/>
  <c r="Y90" i="7"/>
  <c r="Z39" i="7"/>
  <c r="R56" i="7"/>
  <c r="R97" i="7"/>
  <c r="I42" i="7"/>
  <c r="Q44" i="7"/>
  <c r="J58" i="7"/>
  <c r="J29" i="7"/>
  <c r="Z33" i="7"/>
  <c r="Q27" i="7"/>
  <c r="J32" i="7"/>
  <c r="Z37" i="7"/>
  <c r="R28" i="7"/>
  <c r="J39" i="7"/>
  <c r="Y35" i="7"/>
  <c r="I57" i="7"/>
  <c r="J92" i="7"/>
  <c r="Q97" i="7"/>
  <c r="Q93" i="7"/>
  <c r="I55" i="7"/>
  <c r="I58" i="7"/>
  <c r="J42" i="7"/>
  <c r="J51" i="7"/>
  <c r="R70" i="7"/>
  <c r="Y62" i="7"/>
  <c r="J88" i="7"/>
  <c r="I41" i="7"/>
  <c r="J53" i="7"/>
  <c r="Y92" i="7"/>
  <c r="J43" i="7"/>
  <c r="I54" i="7"/>
  <c r="Y64" i="7"/>
  <c r="J96" i="7"/>
  <c r="I49" i="7"/>
  <c r="Q99" i="7"/>
  <c r="R93" i="7"/>
  <c r="J30" i="7"/>
  <c r="J31" i="7"/>
  <c r="J33" i="7"/>
  <c r="R34" i="7"/>
  <c r="R38" i="7"/>
  <c r="R32" i="7"/>
  <c r="J37" i="7"/>
  <c r="R51" i="7"/>
  <c r="J61" i="7"/>
  <c r="I46" i="7"/>
  <c r="Q55" i="7"/>
  <c r="Q30" i="7"/>
  <c r="R77" i="7"/>
  <c r="Y80" i="7"/>
  <c r="Q40" i="7"/>
  <c r="Q65" i="7"/>
  <c r="R81" i="7"/>
  <c r="Q87" i="7"/>
  <c r="Y42" i="7"/>
  <c r="Y55" i="7"/>
  <c r="Z88" i="7"/>
  <c r="Y76" i="7"/>
  <c r="Z100" i="7"/>
  <c r="Z73" i="7"/>
  <c r="I51" i="7"/>
  <c r="Q29" i="7"/>
  <c r="R27" i="7"/>
  <c r="R31" i="7"/>
  <c r="Z35" i="7"/>
  <c r="R44" i="7"/>
  <c r="Z55" i="7"/>
  <c r="Q42" i="7"/>
  <c r="Z45" i="7"/>
  <c r="Z54" i="7"/>
  <c r="Z42" i="7"/>
  <c r="J46" i="7"/>
  <c r="R55" i="7"/>
  <c r="R30" i="7"/>
  <c r="Q67" i="7"/>
  <c r="Z76" i="7"/>
  <c r="Z80" i="7"/>
  <c r="J84" i="7"/>
  <c r="Z96" i="7"/>
  <c r="R40" i="7"/>
  <c r="R65" i="7"/>
  <c r="Z68" i="7"/>
  <c r="I76" i="7"/>
  <c r="R89" i="7"/>
  <c r="Q54" i="7"/>
  <c r="Z62" i="7"/>
  <c r="I66" i="7"/>
  <c r="I53" i="7"/>
  <c r="Q62" i="7"/>
  <c r="Y65" i="7"/>
  <c r="J69" i="7"/>
  <c r="Z84" i="7"/>
  <c r="Z92" i="7"/>
  <c r="Y100" i="7"/>
  <c r="J35" i="7"/>
  <c r="J100" i="7"/>
  <c r="Q81" i="7"/>
  <c r="R61" i="7"/>
  <c r="Y68" i="7"/>
  <c r="Y96" i="7"/>
  <c r="Y41" i="7"/>
  <c r="Z57" i="7"/>
  <c r="Z51" i="7"/>
  <c r="I69" i="7"/>
  <c r="Z65" i="7"/>
  <c r="Y84" i="7"/>
  <c r="Q28" i="7"/>
  <c r="R62" i="7"/>
  <c r="Q79" i="7"/>
  <c r="R54" i="7"/>
  <c r="R85" i="7"/>
  <c r="R29" i="7"/>
  <c r="J66" i="7"/>
  <c r="R67" i="7"/>
  <c r="I75" i="7"/>
  <c r="I95" i="7"/>
  <c r="Y33" i="7"/>
  <c r="Y45" i="7"/>
  <c r="I92" i="7"/>
  <c r="Y37" i="7"/>
  <c r="Q70" i="7"/>
  <c r="Q31" i="7"/>
  <c r="Z70" i="7"/>
  <c r="I35" i="7"/>
  <c r="Z53" i="7"/>
  <c r="Q91" i="7"/>
  <c r="R42" i="7"/>
  <c r="Q89" i="7"/>
  <c r="R75" i="7"/>
  <c r="Q83" i="7"/>
  <c r="Q38" i="7"/>
  <c r="J55" i="7"/>
  <c r="Z41" i="7"/>
  <c r="Z50" i="7"/>
  <c r="J76" i="7"/>
  <c r="R95" i="7"/>
  <c r="J91" i="7"/>
  <c r="J27" i="7"/>
  <c r="I27" i="7"/>
  <c r="B13" i="7"/>
  <c r="D13" i="7" s="1"/>
  <c r="C13" i="7"/>
  <c r="L13" i="7"/>
  <c r="O13" i="7" s="1"/>
  <c r="M13" i="7"/>
  <c r="T13" i="7"/>
  <c r="V13" i="7" s="1"/>
  <c r="B14" i="7"/>
  <c r="C14" i="7" s="1"/>
  <c r="L14" i="7"/>
  <c r="N14" i="7" s="1"/>
  <c r="T14" i="7"/>
  <c r="U14" i="7" s="1"/>
  <c r="X14" i="7"/>
  <c r="B15" i="7"/>
  <c r="D15" i="7" s="1"/>
  <c r="C15" i="7"/>
  <c r="F15" i="7"/>
  <c r="G15" i="7"/>
  <c r="L15" i="7"/>
  <c r="M15" i="7" s="1"/>
  <c r="P15" i="7"/>
  <c r="T15" i="7"/>
  <c r="U15" i="7" s="1"/>
  <c r="B16" i="7"/>
  <c r="E16" i="7" s="1"/>
  <c r="D16" i="7"/>
  <c r="G16" i="7"/>
  <c r="H16" i="7"/>
  <c r="L16" i="7"/>
  <c r="M16" i="7" s="1"/>
  <c r="P16" i="7"/>
  <c r="T16" i="7"/>
  <c r="W16" i="7" s="1"/>
  <c r="B17" i="7"/>
  <c r="D17" i="7" s="1"/>
  <c r="C17" i="7"/>
  <c r="L17" i="7"/>
  <c r="O17" i="7" s="1"/>
  <c r="M17" i="7"/>
  <c r="T17" i="7"/>
  <c r="V17" i="7" s="1"/>
  <c r="U17" i="7"/>
  <c r="B18" i="7"/>
  <c r="C18" i="7" s="1"/>
  <c r="L18" i="7"/>
  <c r="N18" i="7" s="1"/>
  <c r="T18" i="7"/>
  <c r="U18" i="7" s="1"/>
  <c r="B19" i="7"/>
  <c r="D19" i="7" s="1"/>
  <c r="F19" i="7"/>
  <c r="L19" i="7"/>
  <c r="M19" i="7" s="1"/>
  <c r="T19" i="7"/>
  <c r="W19" i="7" s="1"/>
  <c r="B20" i="7"/>
  <c r="C20" i="7" s="1"/>
  <c r="L20" i="7"/>
  <c r="N20" i="7" s="1"/>
  <c r="M20" i="7"/>
  <c r="T20" i="7"/>
  <c r="U20" i="7" s="1"/>
  <c r="B21" i="7"/>
  <c r="D21" i="7" s="1"/>
  <c r="G21" i="7"/>
  <c r="L21" i="7"/>
  <c r="O21" i="7" s="1"/>
  <c r="M21" i="7"/>
  <c r="T21" i="7"/>
  <c r="V21" i="7" s="1"/>
  <c r="B22" i="7"/>
  <c r="C22" i="7" s="1"/>
  <c r="L22" i="7"/>
  <c r="O22" i="7" s="1"/>
  <c r="M22" i="7"/>
  <c r="T22" i="7"/>
  <c r="V22" i="7" s="1"/>
  <c r="B23" i="7"/>
  <c r="E23" i="7" s="1"/>
  <c r="L23" i="7"/>
  <c r="M23" i="7"/>
  <c r="N23" i="7"/>
  <c r="O23" i="7"/>
  <c r="P23" i="7"/>
  <c r="T23" i="7"/>
  <c r="U23" i="7" s="1"/>
  <c r="W23" i="7"/>
  <c r="B24" i="7"/>
  <c r="E24" i="7" s="1"/>
  <c r="L24" i="7"/>
  <c r="M24" i="7" s="1"/>
  <c r="O24" i="7"/>
  <c r="P24" i="7"/>
  <c r="T24" i="7"/>
  <c r="W24" i="7" s="1"/>
  <c r="U24" i="7"/>
  <c r="V24" i="7"/>
  <c r="X24" i="7"/>
  <c r="B25" i="7"/>
  <c r="D25" i="7" s="1"/>
  <c r="C25" i="7"/>
  <c r="L25" i="7"/>
  <c r="O25" i="7" s="1"/>
  <c r="T25" i="7"/>
  <c r="V25" i="7" s="1"/>
  <c r="U25" i="7"/>
  <c r="X25" i="7"/>
  <c r="B26" i="7"/>
  <c r="C26" i="7" s="1"/>
  <c r="L26" i="7"/>
  <c r="M26" i="7" s="1"/>
  <c r="T26" i="7"/>
  <c r="W26" i="7" s="1"/>
  <c r="G6" i="6"/>
  <c r="X26" i="7" l="1"/>
  <c r="F21" i="7"/>
  <c r="E19" i="7"/>
  <c r="I19" i="7" s="1"/>
  <c r="U26" i="7"/>
  <c r="E26" i="7"/>
  <c r="D24" i="7"/>
  <c r="C23" i="7"/>
  <c r="C21" i="7"/>
  <c r="U19" i="7"/>
  <c r="G19" i="7"/>
  <c r="C19" i="7"/>
  <c r="F18" i="7"/>
  <c r="X16" i="7"/>
  <c r="U13" i="7"/>
  <c r="Y13" i="7" s="1"/>
  <c r="H23" i="7"/>
  <c r="X19" i="7"/>
  <c r="V26" i="7"/>
  <c r="F26" i="7"/>
  <c r="H24" i="7"/>
  <c r="V23" i="7"/>
  <c r="G23" i="7"/>
  <c r="E21" i="7"/>
  <c r="V19" i="7"/>
  <c r="H19" i="7"/>
  <c r="C16" i="7"/>
  <c r="F14" i="7"/>
  <c r="N24" i="7"/>
  <c r="R24" i="7" s="1"/>
  <c r="O16" i="7"/>
  <c r="P26" i="7"/>
  <c r="N25" i="7"/>
  <c r="P17" i="7"/>
  <c r="G17" i="7"/>
  <c r="N16" i="7"/>
  <c r="E15" i="7"/>
  <c r="P13" i="7"/>
  <c r="G13" i="7"/>
  <c r="M25" i="7"/>
  <c r="X17" i="7"/>
  <c r="N17" i="7"/>
  <c r="Q17" i="7" s="1"/>
  <c r="F17" i="7"/>
  <c r="F16" i="7"/>
  <c r="I16" i="7" s="1"/>
  <c r="X15" i="7"/>
  <c r="H15" i="7"/>
  <c r="X13" i="7"/>
  <c r="N13" i="7"/>
  <c r="R13" i="7" s="1"/>
  <c r="F13" i="7"/>
  <c r="U22" i="7"/>
  <c r="P22" i="7"/>
  <c r="N22" i="7"/>
  <c r="U21" i="7"/>
  <c r="P21" i="7"/>
  <c r="N21" i="7"/>
  <c r="R21" i="7" s="1"/>
  <c r="X20" i="7"/>
  <c r="P19" i="7"/>
  <c r="X18" i="7"/>
  <c r="M18" i="7"/>
  <c r="Q18" i="7" s="1"/>
  <c r="V16" i="7"/>
  <c r="U16" i="7"/>
  <c r="W15" i="7"/>
  <c r="V15" i="7"/>
  <c r="P14" i="7"/>
  <c r="M14" i="7"/>
  <c r="Q14" i="7" s="1"/>
  <c r="X21" i="7"/>
  <c r="W18" i="7"/>
  <c r="P18" i="7"/>
  <c r="E18" i="7"/>
  <c r="W14" i="7"/>
  <c r="W20" i="7"/>
  <c r="P20" i="7"/>
  <c r="O15" i="7"/>
  <c r="E14" i="7"/>
  <c r="N26" i="7"/>
  <c r="Q26" i="7" s="1"/>
  <c r="F23" i="7"/>
  <c r="X22" i="7"/>
  <c r="W21" i="7"/>
  <c r="V20" i="7"/>
  <c r="Y20" i="7" s="1"/>
  <c r="O20" i="7"/>
  <c r="R20" i="7" s="1"/>
  <c r="O18" i="7"/>
  <c r="E17" i="7"/>
  <c r="N15" i="7"/>
  <c r="Q15" i="7" s="1"/>
  <c r="V14" i="7"/>
  <c r="Y14" i="7" s="1"/>
  <c r="O14" i="7"/>
  <c r="R14" i="7" s="1"/>
  <c r="H14" i="7"/>
  <c r="D14" i="7"/>
  <c r="W13" i="7"/>
  <c r="E13" i="7"/>
  <c r="O26" i="7"/>
  <c r="O19" i="7"/>
  <c r="N19" i="7"/>
  <c r="V18" i="7"/>
  <c r="H18" i="7"/>
  <c r="D18" i="7"/>
  <c r="W17" i="7"/>
  <c r="P25" i="7"/>
  <c r="Q25" i="7" s="1"/>
  <c r="G25" i="7"/>
  <c r="X23" i="7"/>
  <c r="Z23" i="7" s="1"/>
  <c r="D23" i="7"/>
  <c r="W22" i="7"/>
  <c r="F22" i="7"/>
  <c r="G18" i="7"/>
  <c r="H17" i="7"/>
  <c r="G14" i="7"/>
  <c r="H13" i="7"/>
  <c r="H26" i="7"/>
  <c r="D26" i="7"/>
  <c r="G26" i="7"/>
  <c r="W25" i="7"/>
  <c r="Z25" i="7" s="1"/>
  <c r="E25" i="7"/>
  <c r="F25" i="7"/>
  <c r="H25" i="7"/>
  <c r="G24" i="7"/>
  <c r="C24" i="7"/>
  <c r="F24" i="7"/>
  <c r="E22" i="7"/>
  <c r="H22" i="7"/>
  <c r="D22" i="7"/>
  <c r="G22" i="7"/>
  <c r="H21" i="7"/>
  <c r="I21" i="7" s="1"/>
  <c r="Q13" i="7"/>
  <c r="Y17" i="7"/>
  <c r="Z24" i="7"/>
  <c r="Q23" i="7"/>
  <c r="Z19" i="7"/>
  <c r="Y25" i="7"/>
  <c r="Y24" i="7"/>
  <c r="E20" i="7"/>
  <c r="H20" i="7"/>
  <c r="D20" i="7"/>
  <c r="F20" i="7"/>
  <c r="G20" i="7"/>
  <c r="Q20" i="7"/>
  <c r="Q16" i="7"/>
  <c r="R23" i="7"/>
  <c r="J16" i="7"/>
  <c r="R16" i="7" l="1"/>
  <c r="Y19" i="7"/>
  <c r="Z13" i="7"/>
  <c r="Q24" i="7"/>
  <c r="Z26" i="7"/>
  <c r="R17" i="7"/>
  <c r="I26" i="7"/>
  <c r="J19" i="7"/>
  <c r="Y22" i="7"/>
  <c r="Y26" i="7"/>
  <c r="I14" i="7"/>
  <c r="I15" i="7"/>
  <c r="I23" i="7"/>
  <c r="J23" i="7"/>
  <c r="J15" i="7"/>
  <c r="I17" i="7"/>
  <c r="J26" i="7"/>
  <c r="J14" i="7"/>
  <c r="I24" i="7"/>
  <c r="J17" i="7"/>
  <c r="Q21" i="7"/>
  <c r="R18" i="7"/>
  <c r="I13" i="7"/>
  <c r="I18" i="7"/>
  <c r="J21" i="7"/>
  <c r="Y23" i="7"/>
  <c r="Z17" i="7"/>
  <c r="Y15" i="7"/>
  <c r="Y21" i="7"/>
  <c r="Q19" i="7"/>
  <c r="Q22" i="7"/>
  <c r="Z22" i="7"/>
  <c r="R22" i="7"/>
  <c r="Z16" i="7"/>
  <c r="Z21" i="7"/>
  <c r="Y16" i="7"/>
  <c r="Z15" i="7"/>
  <c r="Z18" i="7"/>
  <c r="R19" i="7"/>
  <c r="Z20" i="7"/>
  <c r="R26" i="7"/>
  <c r="J18" i="7"/>
  <c r="I22" i="7"/>
  <c r="R15" i="7"/>
  <c r="Z14" i="7"/>
  <c r="J13" i="7"/>
  <c r="Y18" i="7"/>
  <c r="R25" i="7"/>
  <c r="J24" i="7"/>
  <c r="I25" i="7"/>
  <c r="J25" i="7"/>
  <c r="J22" i="7"/>
  <c r="J20" i="7"/>
  <c r="I20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G3" i="6"/>
  <c r="G4" i="6"/>
  <c r="G5" i="6"/>
  <c r="G7" i="6"/>
  <c r="G8" i="6"/>
  <c r="G9" i="6"/>
  <c r="G10" i="6"/>
  <c r="G11" i="6"/>
  <c r="G12" i="6"/>
  <c r="G13" i="6"/>
  <c r="G14" i="6"/>
  <c r="G15" i="6"/>
  <c r="G16" i="6"/>
  <c r="G17" i="6"/>
  <c r="G18" i="6"/>
  <c r="G20" i="6"/>
  <c r="G21" i="6"/>
  <c r="G2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D27" i="6"/>
  <c r="D28" i="6"/>
  <c r="D29" i="6"/>
  <c r="D30" i="6"/>
  <c r="D31" i="6"/>
  <c r="D32" i="6"/>
  <c r="D33" i="6"/>
  <c r="D34" i="6"/>
  <c r="D35" i="6"/>
  <c r="D36" i="6"/>
  <c r="C33" i="6"/>
  <c r="C34" i="6"/>
  <c r="C35" i="6"/>
  <c r="C36" i="6"/>
  <c r="L10" i="2"/>
  <c r="L11" i="2"/>
  <c r="L12" i="2"/>
  <c r="L13" i="2"/>
  <c r="L14" i="2"/>
  <c r="H6" i="2"/>
  <c r="H7" i="2"/>
  <c r="H8" i="2"/>
  <c r="H9" i="2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C2" i="6"/>
  <c r="D2" i="6"/>
  <c r="G2" i="6"/>
  <c r="I2" i="6"/>
  <c r="L2" i="7"/>
  <c r="P2" i="7" s="1"/>
  <c r="L3" i="7"/>
  <c r="P3" i="7" s="1"/>
  <c r="L4" i="7"/>
  <c r="N4" i="7" s="1"/>
  <c r="L5" i="7"/>
  <c r="N5" i="7" s="1"/>
  <c r="L6" i="7"/>
  <c r="N6" i="7" s="1"/>
  <c r="L7" i="7"/>
  <c r="O7" i="7" s="1"/>
  <c r="L8" i="7"/>
  <c r="N8" i="7" s="1"/>
  <c r="L9" i="7"/>
  <c r="M9" i="7" s="1"/>
  <c r="L10" i="7"/>
  <c r="M10" i="7" s="1"/>
  <c r="L11" i="7"/>
  <c r="M11" i="7" s="1"/>
  <c r="L12" i="7"/>
  <c r="M12" i="7" s="1"/>
  <c r="T2" i="7"/>
  <c r="W2" i="7" s="1"/>
  <c r="T3" i="7"/>
  <c r="V3" i="7" s="1"/>
  <c r="T4" i="7"/>
  <c r="U4" i="7" s="1"/>
  <c r="T5" i="7"/>
  <c r="U5" i="7" s="1"/>
  <c r="T6" i="7"/>
  <c r="U6" i="7" s="1"/>
  <c r="T7" i="7"/>
  <c r="U7" i="7" s="1"/>
  <c r="T8" i="7"/>
  <c r="V8" i="7" s="1"/>
  <c r="T9" i="7"/>
  <c r="U9" i="7" s="1"/>
  <c r="T10" i="7"/>
  <c r="X10" i="7" s="1"/>
  <c r="T11" i="7"/>
  <c r="X11" i="7" s="1"/>
  <c r="T12" i="7"/>
  <c r="X12" i="7" s="1"/>
  <c r="B4" i="7"/>
  <c r="F4" i="7" s="1"/>
  <c r="B7" i="7"/>
  <c r="D7" i="7" s="1"/>
  <c r="B8" i="7"/>
  <c r="G8" i="7" s="1"/>
  <c r="B9" i="7"/>
  <c r="D9" i="7" s="1"/>
  <c r="B10" i="7"/>
  <c r="C10" i="7" s="1"/>
  <c r="B11" i="7"/>
  <c r="C11" i="7" s="1"/>
  <c r="B12" i="7"/>
  <c r="D12" i="7" s="1"/>
  <c r="B3" i="7"/>
  <c r="H3" i="7" s="1"/>
  <c r="B2" i="7"/>
  <c r="H2" i="7" s="1"/>
  <c r="B5" i="7"/>
  <c r="C5" i="7" s="1"/>
  <c r="B6" i="7"/>
  <c r="H6" i="7" s="1"/>
  <c r="N7" i="7" l="1"/>
  <c r="O6" i="7"/>
  <c r="G4" i="7"/>
  <c r="O4" i="7"/>
  <c r="F12" i="7"/>
  <c r="O5" i="7"/>
  <c r="G3" i="7"/>
  <c r="O3" i="7"/>
  <c r="F11" i="7"/>
  <c r="N3" i="7"/>
  <c r="O2" i="7"/>
  <c r="G12" i="7"/>
  <c r="F10" i="7"/>
  <c r="F2" i="7"/>
  <c r="N2" i="7"/>
  <c r="V2" i="7"/>
  <c r="G11" i="7"/>
  <c r="F9" i="7"/>
  <c r="G2" i="7"/>
  <c r="O12" i="7"/>
  <c r="G10" i="7"/>
  <c r="F8" i="7"/>
  <c r="N12" i="7"/>
  <c r="O11" i="7"/>
  <c r="G9" i="7"/>
  <c r="F7" i="7"/>
  <c r="N11" i="7"/>
  <c r="O10" i="7"/>
  <c r="F6" i="7"/>
  <c r="N10" i="7"/>
  <c r="O9" i="7"/>
  <c r="G7" i="7"/>
  <c r="F5" i="7"/>
  <c r="N9" i="7"/>
  <c r="O8" i="7"/>
  <c r="G6" i="7"/>
  <c r="G5" i="7"/>
  <c r="F3" i="7"/>
  <c r="W12" i="7"/>
  <c r="V12" i="7"/>
  <c r="W11" i="7"/>
  <c r="V11" i="7"/>
  <c r="W10" i="7"/>
  <c r="V10" i="7"/>
  <c r="W9" i="7"/>
  <c r="V9" i="7"/>
  <c r="W8" i="7"/>
  <c r="W7" i="7"/>
  <c r="V7" i="7"/>
  <c r="W6" i="7"/>
  <c r="V6" i="7"/>
  <c r="W5" i="7"/>
  <c r="V5" i="7"/>
  <c r="W4" i="7"/>
  <c r="V4" i="7"/>
  <c r="W3" i="7"/>
  <c r="C2" i="7"/>
  <c r="X8" i="7"/>
  <c r="X6" i="7"/>
  <c r="U8" i="7"/>
  <c r="X9" i="7"/>
  <c r="M6" i="7"/>
  <c r="X7" i="7"/>
  <c r="P12" i="7"/>
  <c r="X3" i="7"/>
  <c r="U3" i="7"/>
  <c r="M8" i="7"/>
  <c r="M7" i="7"/>
  <c r="X4" i="7"/>
  <c r="U2" i="7"/>
  <c r="M5" i="7"/>
  <c r="P11" i="7"/>
  <c r="M4" i="7"/>
  <c r="P9" i="7"/>
  <c r="U11" i="7"/>
  <c r="M3" i="7"/>
  <c r="P8" i="7"/>
  <c r="U12" i="7"/>
  <c r="P7" i="7"/>
  <c r="P6" i="7"/>
  <c r="X5" i="7"/>
  <c r="X2" i="7"/>
  <c r="M2" i="7"/>
  <c r="P5" i="7"/>
  <c r="P4" i="7"/>
  <c r="Q4" i="7" s="1"/>
  <c r="U10" i="7"/>
  <c r="P10" i="7"/>
  <c r="Q10" i="7" s="1"/>
  <c r="E10" i="7"/>
  <c r="D4" i="7"/>
  <c r="E9" i="7"/>
  <c r="C9" i="7"/>
  <c r="E7" i="7"/>
  <c r="E8" i="7"/>
  <c r="D8" i="7"/>
  <c r="H8" i="7"/>
  <c r="C8" i="7"/>
  <c r="C7" i="7"/>
  <c r="E12" i="7"/>
  <c r="C12" i="7"/>
  <c r="H12" i="7"/>
  <c r="H11" i="7"/>
  <c r="D11" i="7"/>
  <c r="E11" i="7"/>
  <c r="H10" i="7"/>
  <c r="D10" i="7"/>
  <c r="H9" i="7"/>
  <c r="H7" i="7"/>
  <c r="H5" i="7"/>
  <c r="E4" i="7"/>
  <c r="H4" i="7"/>
  <c r="E2" i="7"/>
  <c r="D2" i="7"/>
  <c r="E3" i="7"/>
  <c r="D6" i="7"/>
  <c r="C6" i="7"/>
  <c r="D3" i="7"/>
  <c r="C3" i="7"/>
  <c r="C4" i="7"/>
  <c r="E6" i="7"/>
  <c r="E5" i="7"/>
  <c r="D5" i="7"/>
  <c r="Q6" i="7" l="1"/>
  <c r="Q12" i="7"/>
  <c r="Y7" i="7"/>
  <c r="Y5" i="7"/>
  <c r="Y2" i="7"/>
  <c r="Y4" i="7"/>
  <c r="Y10" i="7"/>
  <c r="Y8" i="7"/>
  <c r="Y11" i="7"/>
  <c r="Y12" i="7"/>
  <c r="Y3" i="7"/>
  <c r="Q2" i="7"/>
  <c r="I12" i="7"/>
  <c r="Y9" i="7"/>
  <c r="Q5" i="7"/>
  <c r="Q11" i="7"/>
  <c r="Y6" i="7"/>
  <c r="Q3" i="7"/>
  <c r="Q7" i="7"/>
  <c r="Q8" i="7"/>
  <c r="Q9" i="7"/>
  <c r="I4" i="7"/>
  <c r="I3" i="7"/>
  <c r="I10" i="7"/>
  <c r="I7" i="7"/>
  <c r="I2" i="7"/>
  <c r="I8" i="7"/>
  <c r="I5" i="7"/>
  <c r="I11" i="7"/>
  <c r="I9" i="7"/>
  <c r="I6" i="7"/>
  <c r="J8" i="7"/>
  <c r="J9" i="7"/>
  <c r="J3" i="7"/>
  <c r="J6" i="7"/>
  <c r="J2" i="7"/>
  <c r="J4" i="7"/>
  <c r="J5" i="7"/>
  <c r="J11" i="7"/>
  <c r="J7" i="7"/>
  <c r="J12" i="7"/>
  <c r="J10" i="7"/>
  <c r="Z8" i="7"/>
  <c r="R6" i="7"/>
  <c r="R5" i="7"/>
  <c r="R9" i="7"/>
  <c r="R3" i="7"/>
  <c r="R11" i="7"/>
  <c r="Z9" i="7"/>
  <c r="Z3" i="7"/>
  <c r="R4" i="7"/>
  <c r="R12" i="7"/>
  <c r="Z4" i="7"/>
  <c r="Z7" i="7"/>
  <c r="R2" i="7"/>
  <c r="R7" i="7"/>
  <c r="Z2" i="7"/>
  <c r="Z12" i="7"/>
  <c r="Z11" i="7"/>
  <c r="R8" i="7"/>
  <c r="Z5" i="7"/>
  <c r="Z6" i="7"/>
  <c r="R10" i="7"/>
  <c r="Z10" i="7"/>
</calcChain>
</file>

<file path=xl/sharedStrings.xml><?xml version="1.0" encoding="utf-8"?>
<sst xmlns="http://schemas.openxmlformats.org/spreadsheetml/2006/main" count="457" uniqueCount="145">
  <si>
    <t>2500 X 2000</t>
  </si>
  <si>
    <t>2375 X 2000</t>
  </si>
  <si>
    <t>2500 X 2125</t>
  </si>
  <si>
    <t>2750 X 2125</t>
  </si>
  <si>
    <t>3000 X 2000</t>
  </si>
  <si>
    <t>3000 X 2125</t>
  </si>
  <si>
    <t>5000 X 2125</t>
  </si>
  <si>
    <t>2500 X 2250</t>
  </si>
  <si>
    <t>2750 X 2250</t>
  </si>
  <si>
    <t>3000 X 2250</t>
  </si>
  <si>
    <t>3500 X 2250</t>
  </si>
  <si>
    <t>4000 X 2250</t>
  </si>
  <si>
    <t>5000 X 2250</t>
  </si>
  <si>
    <t>2500 X 2500</t>
  </si>
  <si>
    <t>2750 X 2500</t>
  </si>
  <si>
    <t>3000 X 2500</t>
  </si>
  <si>
    <t>5000 X 2500</t>
  </si>
  <si>
    <t>GOLD OAK</t>
  </si>
  <si>
    <t>DARK OAK</t>
  </si>
  <si>
    <t>SUPRAMATIC E4</t>
  </si>
  <si>
    <t>PROMATIC 4</t>
  </si>
  <si>
    <t>PROMATIC 3</t>
  </si>
  <si>
    <t>PROLIFT 700</t>
  </si>
  <si>
    <t>DIAMOND BLACK DURA</t>
  </si>
  <si>
    <t>Naziv proizvoda</t>
  </si>
  <si>
    <t>Šifra proizvoda</t>
  </si>
  <si>
    <t>RAL- BOJA-DECOR</t>
  </si>
  <si>
    <t>RAL 9016 - WOOD</t>
  </si>
  <si>
    <t>RAL 7016 WOOD</t>
  </si>
  <si>
    <t>RAL 7016 PLAN</t>
  </si>
  <si>
    <t>RAL 9007</t>
  </si>
  <si>
    <t>LAGER</t>
  </si>
  <si>
    <t>Datum</t>
  </si>
  <si>
    <t>Kupac</t>
  </si>
  <si>
    <t>VODILICA MOTORA K</t>
  </si>
  <si>
    <t>VODILICA MOTORA M</t>
  </si>
  <si>
    <t>VODILICA MOTORA L</t>
  </si>
  <si>
    <t>LIFTRONIC 700</t>
  </si>
  <si>
    <t>ROTAMATIC 2P</t>
  </si>
  <si>
    <t>LINEAMATIC P</t>
  </si>
  <si>
    <t>M1</t>
  </si>
  <si>
    <t>M2</t>
  </si>
  <si>
    <t>M3</t>
  </si>
  <si>
    <t>M4</t>
  </si>
  <si>
    <t>M5</t>
  </si>
  <si>
    <t>M6</t>
  </si>
  <si>
    <t>M7</t>
  </si>
  <si>
    <t>V1</t>
  </si>
  <si>
    <t>V2</t>
  </si>
  <si>
    <t>V3</t>
  </si>
  <si>
    <t>ŠUK VIOLETA I ROBERT</t>
  </si>
  <si>
    <t>BUGARIN JASMINA</t>
  </si>
  <si>
    <t>MIKULIĆ IVAN</t>
  </si>
  <si>
    <t>FRANKOVIĆ DARKO</t>
  </si>
  <si>
    <t>ĆURIĆ DRAGO</t>
  </si>
  <si>
    <t>DESPOT JANICA I DARKO</t>
  </si>
  <si>
    <t>PAJDO GRAĐENJE</t>
  </si>
  <si>
    <t>PATAFTA DARKO</t>
  </si>
  <si>
    <t>LOKOTAR BORIS</t>
  </si>
  <si>
    <t>HUBAK ZDRAVKO</t>
  </si>
  <si>
    <t>ŽICA ŽALAC</t>
  </si>
  <si>
    <t>Skladište</t>
  </si>
  <si>
    <t>Rezervirano</t>
  </si>
  <si>
    <t>Stupac1</t>
  </si>
  <si>
    <t>Stupac2</t>
  </si>
  <si>
    <t>Tip_ulaza</t>
  </si>
  <si>
    <t>Ulaz</t>
  </si>
  <si>
    <t>Šifra motora</t>
  </si>
  <si>
    <t>tip</t>
  </si>
  <si>
    <t>skladište</t>
  </si>
  <si>
    <t>Šifra vodilice</t>
  </si>
  <si>
    <t>Tip vodilice</t>
  </si>
  <si>
    <t>Tip motora</t>
  </si>
  <si>
    <t>Komada vrata</t>
  </si>
  <si>
    <t>Komada motora</t>
  </si>
  <si>
    <t>Komada vodilice</t>
  </si>
  <si>
    <t>Broj ulaza Vrata</t>
  </si>
  <si>
    <t>Broj prodanih Vrata</t>
  </si>
  <si>
    <t>Početan broj vrata</t>
  </si>
  <si>
    <t>Broj ulaza vodilica</t>
  </si>
  <si>
    <t>Broj prodanih vodilica</t>
  </si>
  <si>
    <t>Broj prodanih motora</t>
  </si>
  <si>
    <t>Broj ulaza motora</t>
  </si>
  <si>
    <t>Početan broj vodilica</t>
  </si>
  <si>
    <t>Početan broj motora</t>
  </si>
  <si>
    <t>Stanje vodilica</t>
  </si>
  <si>
    <t>Stanje motora</t>
  </si>
  <si>
    <t>Šifra Vrata</t>
  </si>
  <si>
    <t>Šifra vodilica</t>
  </si>
  <si>
    <t>Šifra proizvoda vrata</t>
  </si>
  <si>
    <t>Broj montiranih Vrata</t>
  </si>
  <si>
    <t>Broj montiranih vodilica</t>
  </si>
  <si>
    <t>Broj montiranih motora</t>
  </si>
  <si>
    <t>Stanje na skladištu vrata</t>
  </si>
  <si>
    <t>Stanje vodilica na skladištu</t>
  </si>
  <si>
    <t>Broj motora na skladištu</t>
  </si>
  <si>
    <t>PLANAR CH906</t>
  </si>
  <si>
    <t>5008 X 2250</t>
  </si>
  <si>
    <t>PLANAR CH914</t>
  </si>
  <si>
    <t>5009 X 2250</t>
  </si>
  <si>
    <t>PLANAR CH915</t>
  </si>
  <si>
    <t>5010 X 2250</t>
  </si>
  <si>
    <t>PLANAR CH916</t>
  </si>
  <si>
    <t>4000 X 2125</t>
  </si>
  <si>
    <t>PLANAR 7016</t>
  </si>
  <si>
    <t>DURAGRAIN</t>
  </si>
  <si>
    <t>LPU 42 RAL 9007 PLAN</t>
  </si>
  <si>
    <t>GIGANT - ĐURĐEVAC</t>
  </si>
  <si>
    <t>Prodano</t>
  </si>
  <si>
    <t>BRALIĆ DR. MARIN</t>
  </si>
  <si>
    <t xml:space="preserve">PETROVIĆ KAROLINA </t>
  </si>
  <si>
    <t>BRČIN ANITA</t>
  </si>
  <si>
    <t>MARKOVIĆ EVICA</t>
  </si>
  <si>
    <t>SOKOL IVAN</t>
  </si>
  <si>
    <t>HANZL DARIO</t>
  </si>
  <si>
    <t>GIBIČAR DARIO</t>
  </si>
  <si>
    <t>TIHANA LISAK KRNJAK</t>
  </si>
  <si>
    <t>KUNTIN DAJANA</t>
  </si>
  <si>
    <t>AMBROŠ DRAGO</t>
  </si>
  <si>
    <t>RADONIĆ NIKOLA</t>
  </si>
  <si>
    <t>ŠTEFANČIĆ GORAN</t>
  </si>
  <si>
    <t>ALU PREMIUM SISTEMI</t>
  </si>
  <si>
    <t>BOŠČIĆ STIPE</t>
  </si>
  <si>
    <t>MODIJAL-ZGONJANIN</t>
  </si>
  <si>
    <t>ĆERNI DAMIR</t>
  </si>
  <si>
    <t>ŠESTAK BERNARD</t>
  </si>
  <si>
    <t>DRAŽEN ŠUTALO-FAGUS</t>
  </si>
  <si>
    <t>KOVAČIĆ GORAN</t>
  </si>
  <si>
    <t>Montirano</t>
  </si>
  <si>
    <t>SOKOL IVAN-LAGER</t>
  </si>
  <si>
    <t>CRNKOVIĆ GORDANA</t>
  </si>
  <si>
    <t>3000X3000</t>
  </si>
  <si>
    <t>2375 X 2125</t>
  </si>
  <si>
    <t>MONT-KRAN</t>
  </si>
  <si>
    <t>GRANAT</t>
  </si>
  <si>
    <t>4000 X 2500</t>
  </si>
  <si>
    <t>RAL 7016</t>
  </si>
  <si>
    <t>DAVOR ANTON</t>
  </si>
  <si>
    <t>BIO-ULJARICE</t>
  </si>
  <si>
    <t>KOLAR IDŽANOVIĆ BILJANA</t>
  </si>
  <si>
    <t>JELAVIĆ MIRO</t>
  </si>
  <si>
    <t>PAUN BOŽO</t>
  </si>
  <si>
    <t>ŠERBETAR ZVONKO</t>
  </si>
  <si>
    <t xml:space="preserve">KELDA </t>
  </si>
  <si>
    <t>KRSNIK MARIJA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</si>
</sst>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n_-;\-* #,##0.00\ _k_n_-;_-* &quot;-&quot;??\ _k_n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6" fillId="0" borderId="0"/>
    <xf numFmtId="164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1" applyFill="1" applyBorder="1" applyAlignment="1">
      <alignment horizontal="center" vertical="center" wrapText="1"/>
    </xf>
    <xf numFmtId="0" fontId="4" fillId="0" borderId="6" xfId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2" borderId="8" xfId="1" applyBorder="1" applyAlignment="1">
      <alignment horizontal="center" vertical="center" wrapText="1"/>
    </xf>
    <xf numFmtId="0" fontId="4" fillId="2" borderId="0" xfId="1" applyBorder="1" applyAlignment="1">
      <alignment horizontal="center" vertical="center"/>
    </xf>
    <xf numFmtId="0" fontId="4" fillId="2" borderId="6" xfId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8" fontId="0" fillId="0" borderId="0" xfId="0" applyNumberFormat="1"/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" fillId="2" borderId="0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1" fillId="2" borderId="0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 wrapText="1"/>
    </xf>
    <xf numFmtId="0" fontId="0" fillId="0" borderId="0" xfId="0" applyFill="1"/>
    <xf numFmtId="0" fontId="7" fillId="3" borderId="15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4">
    <cellStyle name="Isticanje1" xfId="1" builtinId="29"/>
    <cellStyle name="Normalno" xfId="0" builtinId="0"/>
    <cellStyle name="Normalno 2" xfId="2" xr:uid="{4B1FFC68-DA67-46B7-B0D4-F75C8EF45BB0}"/>
    <cellStyle name="Zarez 2" xfId="3" xr:uid="{CD27EBD4-EFD9-4430-81A0-4B657E39C7BF}"/>
  </cellStyles>
  <dxfs count="6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11/relationships/webextension" Target="../webextensions/webextension2.xml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251460</xdr:colOff>
      <xdr:row>0</xdr:row>
      <xdr:rowOff>152400</xdr:rowOff>
    </xdr:from>
    <xdr:to>
      <xdr:col>14</xdr:col>
      <xdr:colOff>1112520</xdr:colOff>
      <xdr:row>12</xdr:row>
      <xdr:rowOff>53340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Dodatak 3" title="Mini Calendar and Date Picker">
              <a:extLst>
                <a:ext uri="{FF2B5EF4-FFF2-40B4-BE49-F238E27FC236}">
                  <a16:creationId xmlns:a16="http://schemas.microsoft.com/office/drawing/2014/main" id="{0B0484A9-F42F-4074-9815-BD625C7E834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4" name="Dodatak 3" title="Mini Calendar and Date Picker">
              <a:extLst>
                <a:ext uri="{FF2B5EF4-FFF2-40B4-BE49-F238E27FC236}">
                  <a16:creationId xmlns:a16="http://schemas.microsoft.com/office/drawing/2014/main" id="{0B0484A9-F42F-4074-9815-BD625C7E834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342900</xdr:colOff>
      <xdr:row>11</xdr:row>
      <xdr:rowOff>159386</xdr:rowOff>
    </xdr:from>
    <xdr:to>
      <xdr:col>14</xdr:col>
      <xdr:colOff>1207135</xdr:colOff>
      <xdr:row>23</xdr:row>
      <xdr:rowOff>59962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Dodatak 4" title="Mini Calendar and Date Picker">
              <a:extLst>
                <a:ext uri="{FF2B5EF4-FFF2-40B4-BE49-F238E27FC236}">
                  <a16:creationId xmlns:a16="http://schemas.microsoft.com/office/drawing/2014/main" id="{E365C162-AB92-40B6-87D1-C628B5000D4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5" name="Dodatak 4" title="Mini Calendar and Date Picker">
              <a:extLst>
                <a:ext uri="{FF2B5EF4-FFF2-40B4-BE49-F238E27FC236}">
                  <a16:creationId xmlns:a16="http://schemas.microsoft.com/office/drawing/2014/main" id="{E365C162-AB92-40B6-87D1-C628B5000D4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223601</xdr:colOff>
      <xdr:row>69</xdr:row>
      <xdr:rowOff>22665</xdr:rowOff>
    </xdr:from>
    <xdr:to>
      <xdr:col>8</xdr:col>
      <xdr:colOff>871526</xdr:colOff>
      <xdr:row>80</xdr:row>
      <xdr:rowOff>115598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Dodatak 1" title="Mini Calendar and Date Picker">
              <a:extLst>
                <a:ext uri="{FF2B5EF4-FFF2-40B4-BE49-F238E27FC236}">
                  <a16:creationId xmlns:a16="http://schemas.microsoft.com/office/drawing/2014/main" id="{EDE76543-B422-4A35-970E-EA3417209A9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Dodatak 1" title="Mini Calendar and Date Picker">
              <a:extLst>
                <a:ext uri="{FF2B5EF4-FFF2-40B4-BE49-F238E27FC236}">
                  <a16:creationId xmlns:a16="http://schemas.microsoft.com/office/drawing/2014/main" id="{EDE76543-B422-4A35-970E-EA3417209A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60B463-4386-4B5C-BFB9-7D4AAFD80BD2}" name="Vrata" displayName="Vrata" ref="A2:D115" insertRowShift="1" totalsRowShown="0" headerRowDxfId="61" dataDxfId="60" tableBorderDxfId="59">
  <autoFilter ref="A2:D115" xr:uid="{4860B463-4386-4B5C-BFB9-7D4AAFD80BD2}"/>
  <tableColumns count="4">
    <tableColumn id="1" xr3:uid="{0A15B160-43C7-4AA2-8818-23CD969064E1}" name="Šifra proizvoda" dataDxfId="58" dataCellStyle="Isticanje1"/>
    <tableColumn id="2" xr3:uid="{61F893C4-BD1E-432C-B669-282F05FBE744}" name="Naziv proizvoda" dataDxfId="57" dataCellStyle="Isticanje1"/>
    <tableColumn id="3" xr3:uid="{4F202C13-1B56-434F-8FA6-32B69095A15F}" name="RAL- BOJA-DECOR" dataDxfId="56" dataCellStyle="Isticanje1"/>
    <tableColumn id="4" xr3:uid="{34A03EFF-8F1F-4A39-AB30-50A51FFEBA57}" name="Skladište" dataDxfId="55" dataCellStyle="Isticanje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081EF4-8FFF-434E-B1EE-004CA55A149E}" name="baza_vodilica" displayName="baza_vodilica" ref="F2:H9" insertRowShift="1" totalsRowShown="0" tableBorderDxfId="54">
  <autoFilter ref="F2:H9" xr:uid="{17081EF4-8FFF-434E-B1EE-004CA55A149E}"/>
  <tableColumns count="3">
    <tableColumn id="1" xr3:uid="{37E9B1F9-964F-4648-8033-D13D5DE3F179}" name="Šifra vodilice" dataDxfId="53"/>
    <tableColumn id="2" xr3:uid="{D448A77F-7D21-431B-8C3B-20098436692A}" name="tip" dataDxfId="52"/>
    <tableColumn id="3" xr3:uid="{5036EC83-A108-416D-9C3E-72D080661D74}" name="skladište" dataDxfId="51">
      <calculatedColumnFormula>SUMIF(INOUTsifr,F3,INOUTvodilice)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8D1542-0235-4FD3-B6BA-69BB2CA2BF83}" name="baza_motora" displayName="baza_motora" ref="J2:L14" insertRowShift="1" totalsRowShown="0" headerRowDxfId="50" dataDxfId="49" tableBorderDxfId="48">
  <autoFilter ref="J2:L14" xr:uid="{498D1542-0235-4FD3-B6BA-69BB2CA2BF83}"/>
  <tableColumns count="3">
    <tableColumn id="1" xr3:uid="{4D1F5967-55EA-4B38-B13E-0EDCDBA0A752}" name="Šifra motora" dataDxfId="47"/>
    <tableColumn id="2" xr3:uid="{89A5FFCE-D3DF-43CE-88DE-285AA32DF923}" name="tip" dataDxfId="46"/>
    <tableColumn id="3" xr3:uid="{ECC6A58A-C139-4839-A319-969226A03E00}" name="skladište" dataDxfId="45">
      <calculatedColumnFormula>SUMIF(INOUTsif,J3,INOUTmotori)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EC58AE-0150-4E48-8C79-9D9A245D3468}" name="Ulaz_izlaz" displayName="Ulaz_izlaz" ref="A1:M58" totalsRowShown="0" headerRowDxfId="44" dataDxfId="43">
  <autoFilter ref="A1:M58" xr:uid="{30EC58AE-0150-4E48-8C79-9D9A245D3468}"/>
  <sortState xmlns:xlrd2="http://schemas.microsoft.com/office/spreadsheetml/2017/richdata2" ref="A2:M36">
    <sortCondition ref="A2:A36"/>
  </sortState>
  <tableColumns count="13">
    <tableColumn id="8" xr3:uid="{898E0B02-0083-4FB5-BA24-C8D20E03AE54}" name="Datum" dataDxfId="42"/>
    <tableColumn id="1" xr3:uid="{010CC448-8C8B-4AAF-9CFE-7CD753DEA36A}" name="Šifra proizvoda vrata" dataDxfId="41"/>
    <tableColumn id="2" xr3:uid="{7BE0AD8E-E3EB-4BC6-96A6-068FD9241F8E}" name="Naziv proizvoda" dataDxfId="40">
      <calculatedColumnFormula>IFERROR(VLOOKUP(Ulaz_izlaz[[#This Row],[Šifra proizvoda vrata]],Vrata[],2,FALSE),"")</calculatedColumnFormula>
    </tableColumn>
    <tableColumn id="3" xr3:uid="{9124ADA1-E79F-4706-9D7C-73C22CA74A4E}" name="RAL- BOJA-DECOR" dataDxfId="39">
      <calculatedColumnFormula>IFERROR(VLOOKUP(Ulaz_izlaz[[#This Row],[Šifra proizvoda vrata]],Vrata[],3,FALSE),"")</calculatedColumnFormula>
    </tableColumn>
    <tableColumn id="10" xr3:uid="{C9241336-DA61-4157-84C0-D35A5DF633C3}" name="Kupac" dataDxfId="38"/>
    <tableColumn id="11" xr3:uid="{F6CAA19C-8F5B-4EC2-95B2-E8239D404A52}" name="Šifra vodilice" dataDxfId="37"/>
    <tableColumn id="12" xr3:uid="{ADA32D84-5AB2-45A9-B765-A5205ED0149F}" name="Tip vodilice" dataDxfId="36">
      <calculatedColumnFormula>IFERROR(VLOOKUP(Ulaz_izlaz[[#This Row],[Šifra vodilice]],baza_vodilica[],2,FALSE),"")</calculatedColumnFormula>
    </tableColumn>
    <tableColumn id="13" xr3:uid="{678515F5-D42C-45E0-857E-800673EFE201}" name="Šifra motora" dataDxfId="35"/>
    <tableColumn id="14" xr3:uid="{9D4D30D8-244F-4BB7-A72F-BC244E008453}" name="Tip motora" dataDxfId="34">
      <calculatedColumnFormula>IFERROR(VLOOKUP(Ulaz_izlaz[[#This Row],[Šifra motora]],baza_motora[],2,FALSE),"")</calculatedColumnFormula>
    </tableColumn>
    <tableColumn id="7" xr3:uid="{CF340876-B1D2-4D5C-A225-A9D9041A307D}" name="Tip_ulaza" dataDxfId="33"/>
    <tableColumn id="15" xr3:uid="{14EDFA88-E8AF-42E4-B214-412E212CFA50}" name="Komada motora" dataDxfId="32"/>
    <tableColumn id="16" xr3:uid="{0BC76D16-CA0D-4D6C-AC05-EB1722C03DA6}" name="Komada vodilice" dataDxfId="31"/>
    <tableColumn id="9" xr3:uid="{7A4213FE-9FE2-4CD5-B8C7-78DD342E4281}" name="Komada vrata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099DE-1B30-4433-BF4D-DF3294DE3509}" name="Stanje" displayName="Stanje" ref="A1:Z100" totalsRowShown="0" headerRowDxfId="29" dataDxfId="27" headerRowBorderDxfId="28" tableBorderDxfId="26" headerRowCellStyle="Isticanje1">
  <autoFilter ref="A1:Z100" xr:uid="{7BA099DE-1B30-4433-BF4D-DF3294DE3509}"/>
  <sortState xmlns:xlrd2="http://schemas.microsoft.com/office/spreadsheetml/2017/richdata2" ref="B2:Z6">
    <sortCondition ref="B3:B102" customList="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"/>
  </sortState>
  <tableColumns count="26">
    <tableColumn id="21" xr3:uid="{B485CC0F-0C4B-4159-ACE7-948D34B7F30F}" name="Datum" dataDxfId="25">
      <calculatedColumnFormula>Stanje[[#This Row],[Datum]]</calculatedColumnFormula>
    </tableColumn>
    <tableColumn id="1" xr3:uid="{79F93E35-9F3F-4182-A5EE-C7E6A1DBAA1D}" name="Šifra Vrata" dataDxfId="24">
      <calculatedColumnFormula>IFERROR(IF(ISBLANK(Ulaz_izlaz[[#This Row],[Šifra proizvoda vrata]]),"",Ulaz_izlaz[[#This Row],[Šifra proizvoda vrata]]),"")</calculatedColumnFormula>
    </tableColumn>
    <tableColumn id="2" xr3:uid="{EB2C80AA-0CD4-4EC9-88DC-10CE0FCDB81B}" name="Naziv proizvoda" dataDxfId="23">
      <calculatedColumnFormula>IFERROR(VLOOKUP(Stanje[[#This Row],[Šifra Vrata]],Vrata[],2,FALSE),"")</calculatedColumnFormula>
    </tableColumn>
    <tableColumn id="3" xr3:uid="{30E1BB2A-3A62-4B37-93A4-082F629545C0}" name="RAL- BOJA-DECOR" dataDxfId="22">
      <calculatedColumnFormula>IFERROR(VLOOKUP(Stanje[[#This Row],[Šifra Vrata]],Vrata[],3,FALSE),"")</calculatedColumnFormula>
    </tableColumn>
    <tableColumn id="22" xr3:uid="{D2F93BBC-DEBC-48C2-8DB6-32149F21BEA0}" name="Broj ulaza Vrata" dataDxfId="21">
      <calculatedColumnFormula>SUMIFS(Upis_stavki!M:M,Upis_stavki!B:B,Stanje[[#This Row],[Šifra Vrata]],Upis_stavki!J:J,"Ulaz")</calculatedColumnFormula>
    </tableColumn>
    <tableColumn id="23" xr3:uid="{0B2F127D-87B5-4C91-8F32-4D37D007115C}" name="Broj montiranih Vrata" dataDxfId="20">
      <calculatedColumnFormula>SUMIFS(Upis_stavki!M:M,Upis_stavki!B:B,Stanje[[#This Row],[Šifra Vrata]],Upis_stavki!J:J,"Montirano")</calculatedColumnFormula>
    </tableColumn>
    <tableColumn id="26" xr3:uid="{090BEA33-0AB8-40F4-BC45-737A104497B4}" name="Broj prodanih Vrata" dataDxfId="19">
      <calculatedColumnFormula>SUMIFS(Upis_stavki!M:M,Upis_stavki!B:B,Stanje[[#This Row],[Šifra Vrata]],Upis_stavki!J:J,"Prodano")</calculatedColumnFormula>
    </tableColumn>
    <tableColumn id="25" xr3:uid="{A2E4082A-D9A0-4304-9A6C-A9DE846A8D59}" name="Početan broj vrata" dataDxfId="18">
      <calculatedColumnFormula>IFERROR(VLOOKUP(Stanje[[#This Row],[Šifra Vrata]],Vrata[],4,FALSE),"")</calculatedColumnFormula>
    </tableColumn>
    <tableColumn id="30" xr3:uid="{0DEA3E37-FDFF-4C53-99C5-BBA6DFACBEFB}" name="Stanje na skladištu vrata" dataDxfId="17">
      <calculatedColumnFormula>IFERROR(Stanje[[#This Row],[Početan broj vrata]]-Stanje[[#This Row],[Broj montiranih Vrata]]+Stanje[[#This Row],[Broj ulaza Vrata]],"")</calculatedColumnFormula>
    </tableColumn>
    <tableColumn id="24" xr3:uid="{F37A8D8D-4838-426C-806E-7D07FFFEAEFF}" name="LAGER" dataDxfId="16">
      <calculatedColumnFormula>IFERROR(Stanje[[#This Row],[Početan broj vrata]]-Stanje[[#This Row],[Broj prodanih Vrata]]-Stanje[[#This Row],[Broj montiranih Vrata]]+Stanje[[#This Row],[Broj ulaza Vrata]],"")</calculatedColumnFormula>
    </tableColumn>
    <tableColumn id="28" xr3:uid="{02E1E5D2-6356-4105-8013-EA2947199E74}" name="Stupac1" dataDxfId="15"/>
    <tableColumn id="19" xr3:uid="{2FD134FE-983B-434E-882F-380BDFB618B2}" name="Šifra vodilica" dataDxfId="14">
      <calculatedColumnFormula>IFERROR(IF(ISBLANK(Ulaz_izlaz[[#This Row],[Šifra vodilice]]),"",Ulaz_izlaz[[#This Row],[Šifra vodilice]]),"")</calculatedColumnFormula>
    </tableColumn>
    <tableColumn id="9" xr3:uid="{59F87EFF-5A0C-42B3-898B-D8211DA5E298}" name="Broj ulaza vodilica" dataDxfId="13">
      <calculatedColumnFormula>SUMIFS(Upis_stavki!L:L,Upis_stavki!F:F,Stanje[[#This Row],[Šifra vodilica]],Upis_stavki!J:J,"Ulaz")</calculatedColumnFormula>
    </tableColumn>
    <tableColumn id="10" xr3:uid="{D2A60C01-C7B4-491E-894B-FECADCCD7CEB}" name="Broj montiranih vodilica" dataDxfId="12">
      <calculatedColumnFormula>SUMIFS(Upis_stavki!L:L,Upis_stavki!F:F,Stanje[[#This Row],[Šifra vodilica]],Upis_stavki!J:J,"Montirano")</calculatedColumnFormula>
    </tableColumn>
    <tableColumn id="11" xr3:uid="{E18116E7-039E-4FE6-9862-29C23C4BEBBD}" name="Broj prodanih vodilica" dataDxfId="11">
      <calculatedColumnFormula>SUMIFS(Upis_stavki!L:L,Upis_stavki!F:F,Stanje[[#This Row],[Šifra vodilica]],Upis_stavki!J:J,"Prodano")</calculatedColumnFormula>
    </tableColumn>
    <tableColumn id="15" xr3:uid="{ACF9D2EB-D867-41CD-BB25-705FC98AE9B5}" name="Početan broj vodilica" dataDxfId="10">
      <calculatedColumnFormula>IFERROR(VLOOKUP(Stanje[[#This Row],[Šifra vodilica]],baza_vodilica[],3,FALSE),"")</calculatedColumnFormula>
    </tableColumn>
    <tableColumn id="31" xr3:uid="{723D9845-D44C-4A83-88D6-8F4B2B5C4FFA}" name="Stanje vodilica na skladištu" dataDxfId="9">
      <calculatedColumnFormula>IFERROR(Stanje[[#This Row],[Početan broj vodilica]]-Stanje[[#This Row],[Broj montiranih vodilica]]+Stanje[[#This Row],[Broj ulaza vodilica]],"")</calculatedColumnFormula>
    </tableColumn>
    <tableColumn id="27" xr3:uid="{9CBCBA09-078A-47CA-9902-99CA081DE21F}" name="Stanje vodilica" dataDxfId="8">
      <calculatedColumnFormula>IFERROR(Stanje[[#This Row],[Početan broj vodilica]]-Stanje[[#This Row],[Broj prodanih vodilica]]-Stanje[[#This Row],[Broj montiranih vodilica]]+Stanje[[#This Row],[Broj ulaza vodilica]],"")</calculatedColumnFormula>
    </tableColumn>
    <tableColumn id="29" xr3:uid="{DAD1C869-BBD5-4F75-BEAD-5160E194FBD4}" name="Stupac2" dataDxfId="7"/>
    <tableColumn id="20" xr3:uid="{0E1E56C0-1FB2-455A-AE6D-3B67364C6E44}" name="Šifra motora" dataDxfId="6">
      <calculatedColumnFormula>IFERROR(IF(ISBLANK(Ulaz_izlaz[[#This Row],[Šifra motora]]),"",Ulaz_izlaz[[#This Row],[Šifra motora]]),"")</calculatedColumnFormula>
    </tableColumn>
    <tableColumn id="12" xr3:uid="{26EAB6E6-53B6-456F-B486-46282B078DC9}" name="Broj ulaza motora" dataDxfId="5">
      <calculatedColumnFormula>SUMIFS(Upis_stavki!K:K,Upis_stavki!H:H,Stanje[[#This Row],[Šifra motora]],Upis_stavki!J:J,"Ulaz")</calculatedColumnFormula>
    </tableColumn>
    <tableColumn id="13" xr3:uid="{BEEFA631-AA08-434B-B7A9-684631326EE5}" name="Broj montiranih motora" dataDxfId="4">
      <calculatedColumnFormula>SUMIFS(Upis_stavki!K:K,Upis_stavki!H:H,Stanje[[#This Row],[Šifra motora]],Upis_stavki!J:J,"Montirano")</calculatedColumnFormula>
    </tableColumn>
    <tableColumn id="14" xr3:uid="{A4BFFA1C-86C9-4DF4-8982-F4AEB2EAEB15}" name="Broj prodanih motora" dataDxfId="3">
      <calculatedColumnFormula>SUMIFS(Upis_stavki!K:K,Upis_stavki!H:H,Stanje[[#This Row],[Šifra motora]],Upis_stavki!J:J,"Prodano")</calculatedColumnFormula>
    </tableColumn>
    <tableColumn id="16" xr3:uid="{4E9CD0FC-1C7A-46E3-83DD-6F5639356247}" name="Početan broj motora" dataDxfId="2">
      <calculatedColumnFormula>IFERROR(VLOOKUP(Stanje[[#This Row],[Šifra motora]],baza_motora[],3,FALSE),"")</calculatedColumnFormula>
    </tableColumn>
    <tableColumn id="32" xr3:uid="{CACA185C-F7ED-4D0E-98A6-A6C8D6360F13}" name="Broj motora na skladištu" dataDxfId="1">
      <calculatedColumnFormula>IFERROR(Stanje[[#This Row],[Početan broj motora]]-Stanje[[#This Row],[Broj montiranih motora]]+Stanje[[#This Row],[Broj ulaza motora]],"")</calculatedColumnFormula>
    </tableColumn>
    <tableColumn id="18" xr3:uid="{182BE0D4-1431-4291-B9AB-E7359BFA80B8}" name="Stanje motora" dataDxfId="0">
      <calculatedColumnFormula>IFERROR(Stanje[[#This Row],[Početan broj motora]]-Stanje[[#This Row],[Broj prodanih motora]]-Stanje[[#This Row],[Broj montiranih motora]]+Stanje[[#This Row],[Broj ulaza motora]],"")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B0484A9-F42F-4074-9815-BD625C7E8347}">
  <we:reference id="wa102957665" version="1.3.0.0" store="hr-HR" storeType="OMEX"/>
  <we:alternateReferences>
    <we:reference id="WA102957665" version="1.3.0.0" store="WA102957665" storeType="OMEX"/>
  </we:alternateReferences>
  <we:properties>
    <we:property name="opt_month" value="&quot;2022-03-01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E365C162-AB92-40B6-87D1-C628B5000D4C}">
  <we:reference id="wa102957665" version="1.3.0.0" store="hr-HR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EDE76543-B422-4A35-970E-EA3417209A96}">
  <we:reference id="wa102957665" version="1.3.0.0" store="hr-HR" storeType="OMEX"/>
  <we:alternateReferences>
    <we:reference id="wa102957665" version="1.3.0.0" store="wa102957665" storeType="OMEX"/>
  </we:alternateReferences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FFCA-4595-4EDB-B581-D7E7039BBBAC}">
  <dimension ref="A1:L315"/>
  <sheetViews>
    <sheetView zoomScale="70" zoomScaleNormal="70" workbookViewId="0">
      <selection activeCell="A113" sqref="A113"/>
    </sheetView>
  </sheetViews>
  <sheetFormatPr defaultColWidth="8.81640625" defaultRowHeight="14.5" x14ac:dyDescent="0.35"/>
  <cols>
    <col min="1" max="1" width="20.6328125" style="2" customWidth="1"/>
    <col min="2" max="2" width="19.6328125" style="2" customWidth="1"/>
    <col min="3" max="3" width="21.453125" style="2" customWidth="1"/>
    <col min="4" max="4" width="22.54296875" style="2" customWidth="1"/>
    <col min="5" max="5" width="19.1796875" style="4" customWidth="1"/>
    <col min="6" max="6" width="27.453125" style="28" customWidth="1"/>
    <col min="7" max="7" width="20.453125" customWidth="1"/>
    <col min="8" max="8" width="12.08984375" customWidth="1"/>
    <col min="9" max="9" width="11" style="4" customWidth="1"/>
    <col min="10" max="10" width="16.54296875" style="2" customWidth="1"/>
    <col min="11" max="11" width="20.08984375" style="2" customWidth="1"/>
    <col min="12" max="12" width="12.453125" style="2" customWidth="1"/>
    <col min="13" max="16384" width="8.81640625" style="2"/>
  </cols>
  <sheetData>
    <row r="1" spans="1:12" x14ac:dyDescent="0.35">
      <c r="D1" s="4"/>
      <c r="G1" s="2"/>
      <c r="H1" s="2"/>
    </row>
    <row r="2" spans="1:12" x14ac:dyDescent="0.35">
      <c r="A2" s="18" t="s">
        <v>25</v>
      </c>
      <c r="B2" s="35" t="s">
        <v>24</v>
      </c>
      <c r="C2" s="34" t="s">
        <v>26</v>
      </c>
      <c r="D2" s="32" t="s">
        <v>61</v>
      </c>
      <c r="E2" s="14"/>
      <c r="F2" s="28" t="s">
        <v>70</v>
      </c>
      <c r="G2" t="s">
        <v>68</v>
      </c>
      <c r="H2" t="s">
        <v>69</v>
      </c>
      <c r="J2" s="2" t="s">
        <v>67</v>
      </c>
      <c r="K2" s="2" t="s">
        <v>68</v>
      </c>
      <c r="L2" s="2" t="s">
        <v>69</v>
      </c>
    </row>
    <row r="3" spans="1:12" x14ac:dyDescent="0.35">
      <c r="A3" s="8">
        <v>1</v>
      </c>
      <c r="B3" s="8" t="s">
        <v>1</v>
      </c>
      <c r="C3" s="6" t="s">
        <v>27</v>
      </c>
      <c r="D3" s="16">
        <v>0</v>
      </c>
      <c r="F3" s="1" t="s">
        <v>47</v>
      </c>
      <c r="G3" s="36" t="s">
        <v>34</v>
      </c>
      <c r="H3" s="1">
        <v>31</v>
      </c>
      <c r="I3" s="11"/>
      <c r="J3" s="1" t="s">
        <v>40</v>
      </c>
      <c r="K3" s="1" t="s">
        <v>37</v>
      </c>
      <c r="L3" s="1">
        <v>63</v>
      </c>
    </row>
    <row r="4" spans="1:12" x14ac:dyDescent="0.35">
      <c r="A4" s="8">
        <v>2</v>
      </c>
      <c r="B4" s="8" t="s">
        <v>0</v>
      </c>
      <c r="C4" s="6" t="s">
        <v>27</v>
      </c>
      <c r="D4" s="16">
        <v>7</v>
      </c>
      <c r="F4" s="5" t="s">
        <v>48</v>
      </c>
      <c r="G4" s="9" t="s">
        <v>35</v>
      </c>
      <c r="H4" s="5">
        <v>18</v>
      </c>
      <c r="I4" s="11"/>
      <c r="J4" s="5" t="s">
        <v>41</v>
      </c>
      <c r="K4" s="5" t="s">
        <v>19</v>
      </c>
      <c r="L4" s="5">
        <v>19</v>
      </c>
    </row>
    <row r="5" spans="1:12" x14ac:dyDescent="0.35">
      <c r="A5" s="8">
        <v>3</v>
      </c>
      <c r="B5" s="8" t="s">
        <v>4</v>
      </c>
      <c r="C5" s="6" t="s">
        <v>27</v>
      </c>
      <c r="D5" s="16">
        <v>6</v>
      </c>
      <c r="F5" s="5" t="s">
        <v>49</v>
      </c>
      <c r="G5" s="9" t="s">
        <v>36</v>
      </c>
      <c r="H5" s="5">
        <v>13</v>
      </c>
      <c r="I5" s="13"/>
      <c r="J5" s="5" t="s">
        <v>42</v>
      </c>
      <c r="K5" s="5" t="s">
        <v>20</v>
      </c>
      <c r="L5" s="5">
        <v>20</v>
      </c>
    </row>
    <row r="6" spans="1:12" x14ac:dyDescent="0.35">
      <c r="A6" s="8">
        <v>4</v>
      </c>
      <c r="B6" s="8" t="s">
        <v>2</v>
      </c>
      <c r="C6" s="6" t="s">
        <v>27</v>
      </c>
      <c r="D6" s="16">
        <v>13</v>
      </c>
      <c r="F6" s="46"/>
      <c r="G6" s="47"/>
      <c r="H6" s="48" t="e">
        <f>SUMIF(INOUTsifr,F6,INOUTvodilice)</f>
        <v>#REF!</v>
      </c>
      <c r="I6" s="3"/>
      <c r="J6" s="5" t="s">
        <v>43</v>
      </c>
      <c r="K6" s="5" t="s">
        <v>21</v>
      </c>
      <c r="L6" s="5">
        <v>1</v>
      </c>
    </row>
    <row r="7" spans="1:12" x14ac:dyDescent="0.35">
      <c r="A7" s="8">
        <v>5</v>
      </c>
      <c r="B7" s="8" t="s">
        <v>3</v>
      </c>
      <c r="C7" s="6" t="s">
        <v>27</v>
      </c>
      <c r="D7" s="16">
        <v>4</v>
      </c>
      <c r="F7" s="46"/>
      <c r="G7" s="47"/>
      <c r="H7" s="48" t="e">
        <f>SUMIF(INOUTsifr,F7,INOUTvodilice)</f>
        <v>#REF!</v>
      </c>
      <c r="I7" s="3"/>
      <c r="J7" s="5" t="s">
        <v>44</v>
      </c>
      <c r="K7" s="5" t="s">
        <v>22</v>
      </c>
      <c r="L7" s="5">
        <v>22</v>
      </c>
    </row>
    <row r="8" spans="1:12" x14ac:dyDescent="0.35">
      <c r="A8" s="8">
        <v>6</v>
      </c>
      <c r="B8" s="8" t="s">
        <v>5</v>
      </c>
      <c r="C8" s="6" t="s">
        <v>27</v>
      </c>
      <c r="D8" s="16">
        <v>7</v>
      </c>
      <c r="F8" s="46"/>
      <c r="G8" s="47"/>
      <c r="H8" s="48" t="e">
        <f>SUMIF(INOUTsifr,F8,INOUTvodilice)</f>
        <v>#REF!</v>
      </c>
      <c r="I8" s="3"/>
      <c r="J8" s="5" t="s">
        <v>45</v>
      </c>
      <c r="K8" s="5" t="s">
        <v>38</v>
      </c>
      <c r="L8" s="5">
        <v>3</v>
      </c>
    </row>
    <row r="9" spans="1:12" x14ac:dyDescent="0.35">
      <c r="A9" s="8">
        <v>7</v>
      </c>
      <c r="B9" s="8" t="s">
        <v>6</v>
      </c>
      <c r="C9" s="6" t="s">
        <v>27</v>
      </c>
      <c r="D9" s="16">
        <v>2</v>
      </c>
      <c r="F9" s="46"/>
      <c r="G9" s="47"/>
      <c r="H9" s="48" t="e">
        <f>SUMIF(INOUTsifr,F9,INOUTvodilice)</f>
        <v>#REF!</v>
      </c>
      <c r="I9" s="3"/>
      <c r="J9" s="5" t="s">
        <v>46</v>
      </c>
      <c r="K9" s="5" t="s">
        <v>39</v>
      </c>
      <c r="L9" s="5">
        <v>6</v>
      </c>
    </row>
    <row r="10" spans="1:12" x14ac:dyDescent="0.35">
      <c r="A10" s="8">
        <v>8</v>
      </c>
      <c r="B10" s="8" t="s">
        <v>7</v>
      </c>
      <c r="C10" s="6" t="s">
        <v>27</v>
      </c>
      <c r="D10" s="16">
        <v>7</v>
      </c>
      <c r="I10" s="3"/>
      <c r="J10" s="49"/>
      <c r="K10" s="49"/>
      <c r="L10" s="49" t="e">
        <f>SUMIF(INOUTsif,J10,INOUTmotori)</f>
        <v>#REF!</v>
      </c>
    </row>
    <row r="11" spans="1:12" x14ac:dyDescent="0.35">
      <c r="A11" s="8">
        <v>9</v>
      </c>
      <c r="B11" s="8" t="s">
        <v>8</v>
      </c>
      <c r="C11" s="6" t="s">
        <v>27</v>
      </c>
      <c r="D11" s="16">
        <v>0</v>
      </c>
      <c r="I11" s="3"/>
      <c r="J11" s="49"/>
      <c r="K11" s="49"/>
      <c r="L11" s="49" t="e">
        <f>SUMIF(INOUTsif,J11,INOUTmotori)</f>
        <v>#REF!</v>
      </c>
    </row>
    <row r="12" spans="1:12" x14ac:dyDescent="0.35">
      <c r="A12" s="8">
        <v>10</v>
      </c>
      <c r="B12" s="8" t="s">
        <v>9</v>
      </c>
      <c r="C12" s="6" t="s">
        <v>27</v>
      </c>
      <c r="D12" s="16">
        <v>4</v>
      </c>
      <c r="I12" s="3"/>
      <c r="J12" s="49"/>
      <c r="K12" s="49"/>
      <c r="L12" s="49" t="e">
        <f>SUMIF(INOUTsif,J12,INOUTmotori)</f>
        <v>#REF!</v>
      </c>
    </row>
    <row r="13" spans="1:12" x14ac:dyDescent="0.35">
      <c r="A13" s="8">
        <v>11</v>
      </c>
      <c r="B13" s="8" t="s">
        <v>10</v>
      </c>
      <c r="C13" s="6" t="s">
        <v>27</v>
      </c>
      <c r="D13" s="16">
        <v>1</v>
      </c>
      <c r="I13" s="3"/>
      <c r="J13" s="49"/>
      <c r="K13" s="49"/>
      <c r="L13" s="49" t="e">
        <f>SUMIF(INOUTsif,J13,INOUTmotori)</f>
        <v>#REF!</v>
      </c>
    </row>
    <row r="14" spans="1:12" x14ac:dyDescent="0.35">
      <c r="A14" s="8">
        <v>12</v>
      </c>
      <c r="B14" s="8" t="s">
        <v>11</v>
      </c>
      <c r="C14" s="6" t="s">
        <v>27</v>
      </c>
      <c r="D14" s="16">
        <v>0</v>
      </c>
      <c r="I14" s="3"/>
      <c r="J14" s="49"/>
      <c r="K14" s="49"/>
      <c r="L14" s="49" t="e">
        <f>SUMIF(INOUTsif,J14,INOUTmotori)</f>
        <v>#REF!</v>
      </c>
    </row>
    <row r="15" spans="1:12" x14ac:dyDescent="0.35">
      <c r="A15" s="8">
        <v>13</v>
      </c>
      <c r="B15" s="8" t="s">
        <v>12</v>
      </c>
      <c r="C15" s="6" t="s">
        <v>27</v>
      </c>
      <c r="D15" s="16">
        <v>3</v>
      </c>
      <c r="G15" s="2"/>
      <c r="H15" s="2"/>
      <c r="I15" s="3"/>
    </row>
    <row r="16" spans="1:12" x14ac:dyDescent="0.35">
      <c r="A16" s="8">
        <v>14</v>
      </c>
      <c r="B16" s="8" t="s">
        <v>13</v>
      </c>
      <c r="C16" s="6" t="s">
        <v>27</v>
      </c>
      <c r="D16" s="16">
        <v>1</v>
      </c>
      <c r="G16" s="2"/>
      <c r="H16" s="2"/>
      <c r="I16" s="3"/>
    </row>
    <row r="17" spans="1:9" x14ac:dyDescent="0.35">
      <c r="A17" s="8">
        <v>15</v>
      </c>
      <c r="B17" s="8" t="s">
        <v>14</v>
      </c>
      <c r="C17" s="6" t="s">
        <v>27</v>
      </c>
      <c r="D17" s="16">
        <v>0</v>
      </c>
      <c r="G17" s="2"/>
      <c r="H17" s="2"/>
      <c r="I17" s="3"/>
    </row>
    <row r="18" spans="1:9" x14ac:dyDescent="0.35">
      <c r="A18" s="8">
        <v>16</v>
      </c>
      <c r="B18" s="8" t="s">
        <v>15</v>
      </c>
      <c r="C18" s="6" t="s">
        <v>27</v>
      </c>
      <c r="D18" s="16">
        <v>4</v>
      </c>
      <c r="G18" s="2"/>
      <c r="H18" s="2"/>
      <c r="I18" s="3"/>
    </row>
    <row r="19" spans="1:9" x14ac:dyDescent="0.35">
      <c r="A19" s="8">
        <v>17</v>
      </c>
      <c r="B19" s="8" t="s">
        <v>16</v>
      </c>
      <c r="C19" s="6" t="s">
        <v>27</v>
      </c>
      <c r="D19" s="16">
        <v>1</v>
      </c>
      <c r="G19" s="2"/>
      <c r="H19" s="2"/>
      <c r="I19" s="3"/>
    </row>
    <row r="20" spans="1:9" x14ac:dyDescent="0.35">
      <c r="A20" s="8">
        <v>18</v>
      </c>
      <c r="B20" s="8" t="s">
        <v>1</v>
      </c>
      <c r="C20" s="6" t="s">
        <v>28</v>
      </c>
      <c r="D20" s="16">
        <v>0</v>
      </c>
      <c r="G20" s="2"/>
      <c r="H20" s="2"/>
      <c r="I20" s="3"/>
    </row>
    <row r="21" spans="1:9" x14ac:dyDescent="0.35">
      <c r="A21" s="8">
        <v>19</v>
      </c>
      <c r="B21" s="8" t="s">
        <v>0</v>
      </c>
      <c r="C21" s="6" t="s">
        <v>28</v>
      </c>
      <c r="D21" s="16">
        <v>2</v>
      </c>
      <c r="G21" s="2"/>
      <c r="H21" s="2"/>
      <c r="I21" s="3"/>
    </row>
    <row r="22" spans="1:9" x14ac:dyDescent="0.35">
      <c r="A22" s="8">
        <v>20</v>
      </c>
      <c r="B22" s="8" t="s">
        <v>4</v>
      </c>
      <c r="C22" s="6" t="s">
        <v>28</v>
      </c>
      <c r="D22" s="16">
        <v>1</v>
      </c>
      <c r="G22" s="2"/>
      <c r="H22" s="2"/>
      <c r="I22" s="3"/>
    </row>
    <row r="23" spans="1:9" x14ac:dyDescent="0.35">
      <c r="A23" s="8">
        <v>21</v>
      </c>
      <c r="B23" s="8" t="s">
        <v>2</v>
      </c>
      <c r="C23" s="6" t="s">
        <v>28</v>
      </c>
      <c r="D23" s="16">
        <v>0</v>
      </c>
      <c r="G23" s="2"/>
      <c r="H23" s="2"/>
      <c r="I23" s="3"/>
    </row>
    <row r="24" spans="1:9" x14ac:dyDescent="0.35">
      <c r="A24" s="8">
        <v>22</v>
      </c>
      <c r="B24" s="8" t="s">
        <v>3</v>
      </c>
      <c r="C24" s="6" t="s">
        <v>28</v>
      </c>
      <c r="D24" s="16">
        <v>0</v>
      </c>
      <c r="G24" s="2"/>
      <c r="H24" s="2"/>
      <c r="I24" s="3"/>
    </row>
    <row r="25" spans="1:9" x14ac:dyDescent="0.35">
      <c r="A25" s="8">
        <v>23</v>
      </c>
      <c r="B25" s="8" t="s">
        <v>5</v>
      </c>
      <c r="C25" s="6" t="s">
        <v>28</v>
      </c>
      <c r="D25" s="16">
        <v>1</v>
      </c>
      <c r="G25" s="2"/>
      <c r="H25" s="2"/>
      <c r="I25" s="3"/>
    </row>
    <row r="26" spans="1:9" x14ac:dyDescent="0.35">
      <c r="A26" s="8">
        <v>24</v>
      </c>
      <c r="B26" s="8" t="s">
        <v>6</v>
      </c>
      <c r="C26" s="6" t="s">
        <v>28</v>
      </c>
      <c r="D26" s="16">
        <v>0</v>
      </c>
      <c r="G26" s="2"/>
      <c r="H26" s="2"/>
      <c r="I26" s="3"/>
    </row>
    <row r="27" spans="1:9" x14ac:dyDescent="0.35">
      <c r="A27" s="8">
        <v>25</v>
      </c>
      <c r="B27" s="8" t="s">
        <v>7</v>
      </c>
      <c r="C27" s="6" t="s">
        <v>28</v>
      </c>
      <c r="D27" s="16">
        <v>3</v>
      </c>
      <c r="G27" s="2"/>
      <c r="H27" s="2"/>
      <c r="I27" s="3"/>
    </row>
    <row r="28" spans="1:9" x14ac:dyDescent="0.35">
      <c r="A28" s="8">
        <v>26</v>
      </c>
      <c r="B28" s="8" t="s">
        <v>8</v>
      </c>
      <c r="C28" s="6" t="s">
        <v>28</v>
      </c>
      <c r="D28" s="16">
        <v>4</v>
      </c>
      <c r="G28" s="2"/>
      <c r="H28" s="2"/>
      <c r="I28" s="3"/>
    </row>
    <row r="29" spans="1:9" x14ac:dyDescent="0.35">
      <c r="A29" s="8">
        <v>27</v>
      </c>
      <c r="B29" s="8" t="s">
        <v>9</v>
      </c>
      <c r="C29" s="6" t="s">
        <v>28</v>
      </c>
      <c r="D29" s="16">
        <v>3</v>
      </c>
      <c r="G29" s="2"/>
      <c r="H29" s="2"/>
      <c r="I29" s="3"/>
    </row>
    <row r="30" spans="1:9" x14ac:dyDescent="0.35">
      <c r="A30" s="8">
        <v>28</v>
      </c>
      <c r="B30" s="8" t="s">
        <v>10</v>
      </c>
      <c r="C30" s="6" t="s">
        <v>28</v>
      </c>
      <c r="D30" s="16">
        <v>0</v>
      </c>
      <c r="G30" s="2"/>
      <c r="H30" s="2"/>
      <c r="I30" s="3"/>
    </row>
    <row r="31" spans="1:9" x14ac:dyDescent="0.35">
      <c r="A31" s="8">
        <v>29</v>
      </c>
      <c r="B31" s="8" t="s">
        <v>11</v>
      </c>
      <c r="C31" s="6" t="s">
        <v>28</v>
      </c>
      <c r="D31" s="16">
        <v>0</v>
      </c>
      <c r="G31" s="2"/>
      <c r="H31" s="2"/>
      <c r="I31" s="3"/>
    </row>
    <row r="32" spans="1:9" x14ac:dyDescent="0.35">
      <c r="A32" s="8">
        <v>30</v>
      </c>
      <c r="B32" s="8" t="s">
        <v>12</v>
      </c>
      <c r="C32" s="6" t="s">
        <v>28</v>
      </c>
      <c r="D32" s="16">
        <v>0</v>
      </c>
      <c r="G32" s="2"/>
      <c r="H32" s="2"/>
      <c r="I32" s="3"/>
    </row>
    <row r="33" spans="1:9" x14ac:dyDescent="0.35">
      <c r="A33" s="8">
        <v>31</v>
      </c>
      <c r="B33" s="8" t="s">
        <v>13</v>
      </c>
      <c r="C33" s="6" t="s">
        <v>28</v>
      </c>
      <c r="D33" s="16">
        <v>0</v>
      </c>
      <c r="G33" s="2"/>
      <c r="H33" s="2"/>
      <c r="I33" s="3"/>
    </row>
    <row r="34" spans="1:9" x14ac:dyDescent="0.35">
      <c r="A34" s="8">
        <v>32</v>
      </c>
      <c r="B34" s="8" t="s">
        <v>14</v>
      </c>
      <c r="C34" s="6" t="s">
        <v>28</v>
      </c>
      <c r="D34" s="16">
        <v>0</v>
      </c>
      <c r="G34" s="2"/>
      <c r="H34" s="2"/>
      <c r="I34" s="3"/>
    </row>
    <row r="35" spans="1:9" x14ac:dyDescent="0.35">
      <c r="A35" s="8">
        <v>33</v>
      </c>
      <c r="B35" s="8" t="s">
        <v>15</v>
      </c>
      <c r="C35" s="6" t="s">
        <v>28</v>
      </c>
      <c r="D35" s="16">
        <v>2</v>
      </c>
      <c r="G35" s="2"/>
      <c r="H35" s="2"/>
      <c r="I35" s="3"/>
    </row>
    <row r="36" spans="1:9" x14ac:dyDescent="0.35">
      <c r="A36" s="8">
        <v>34</v>
      </c>
      <c r="B36" s="8" t="s">
        <v>16</v>
      </c>
      <c r="C36" s="6" t="s">
        <v>28</v>
      </c>
      <c r="D36" s="16">
        <v>1</v>
      </c>
      <c r="G36" s="2"/>
      <c r="H36" s="2"/>
      <c r="I36" s="3"/>
    </row>
    <row r="37" spans="1:9" x14ac:dyDescent="0.35">
      <c r="A37" s="8">
        <v>35</v>
      </c>
      <c r="B37" s="8" t="s">
        <v>1</v>
      </c>
      <c r="C37" s="6" t="s">
        <v>29</v>
      </c>
      <c r="D37" s="16">
        <v>0</v>
      </c>
      <c r="G37" s="2"/>
      <c r="H37" s="2"/>
      <c r="I37" s="3"/>
    </row>
    <row r="38" spans="1:9" x14ac:dyDescent="0.35">
      <c r="A38" s="8">
        <v>36</v>
      </c>
      <c r="B38" s="8" t="s">
        <v>0</v>
      </c>
      <c r="C38" s="6" t="s">
        <v>29</v>
      </c>
      <c r="D38" s="16">
        <v>0</v>
      </c>
      <c r="G38" s="2"/>
      <c r="H38" s="2"/>
      <c r="I38" s="3"/>
    </row>
    <row r="39" spans="1:9" x14ac:dyDescent="0.35">
      <c r="A39" s="8">
        <v>37</v>
      </c>
      <c r="B39" s="8" t="s">
        <v>4</v>
      </c>
      <c r="C39" s="6" t="s">
        <v>29</v>
      </c>
      <c r="D39" s="16">
        <v>2</v>
      </c>
      <c r="G39" s="2"/>
      <c r="H39" s="2"/>
      <c r="I39" s="3"/>
    </row>
    <row r="40" spans="1:9" x14ac:dyDescent="0.35">
      <c r="A40" s="8">
        <v>38</v>
      </c>
      <c r="B40" s="8" t="s">
        <v>2</v>
      </c>
      <c r="C40" s="6" t="s">
        <v>29</v>
      </c>
      <c r="D40" s="16">
        <v>0</v>
      </c>
      <c r="G40" s="2"/>
      <c r="H40" s="2"/>
      <c r="I40" s="3"/>
    </row>
    <row r="41" spans="1:9" x14ac:dyDescent="0.35">
      <c r="A41" s="8">
        <v>39</v>
      </c>
      <c r="B41" s="8" t="s">
        <v>3</v>
      </c>
      <c r="C41" s="6" t="s">
        <v>29</v>
      </c>
      <c r="D41" s="16">
        <v>0</v>
      </c>
      <c r="G41" s="2"/>
      <c r="H41" s="2"/>
      <c r="I41" s="3"/>
    </row>
    <row r="42" spans="1:9" x14ac:dyDescent="0.35">
      <c r="A42" s="8">
        <v>40</v>
      </c>
      <c r="B42" s="8" t="s">
        <v>5</v>
      </c>
      <c r="C42" s="6" t="s">
        <v>29</v>
      </c>
      <c r="D42" s="16">
        <v>3</v>
      </c>
      <c r="G42" s="2"/>
      <c r="H42" s="2"/>
      <c r="I42" s="3"/>
    </row>
    <row r="43" spans="1:9" x14ac:dyDescent="0.35">
      <c r="A43" s="8">
        <v>41</v>
      </c>
      <c r="B43" s="8" t="s">
        <v>6</v>
      </c>
      <c r="C43" s="6" t="s">
        <v>29</v>
      </c>
      <c r="D43" s="16">
        <v>3</v>
      </c>
      <c r="G43" s="2"/>
      <c r="H43" s="2"/>
      <c r="I43" s="3"/>
    </row>
    <row r="44" spans="1:9" x14ac:dyDescent="0.35">
      <c r="A44" s="8">
        <v>42</v>
      </c>
      <c r="B44" s="8" t="s">
        <v>7</v>
      </c>
      <c r="C44" s="6" t="s">
        <v>29</v>
      </c>
      <c r="D44" s="16">
        <v>1</v>
      </c>
      <c r="G44" s="2"/>
      <c r="H44" s="2"/>
      <c r="I44" s="3"/>
    </row>
    <row r="45" spans="1:9" x14ac:dyDescent="0.35">
      <c r="A45" s="8">
        <v>43</v>
      </c>
      <c r="B45" s="8" t="s">
        <v>8</v>
      </c>
      <c r="C45" s="6" t="s">
        <v>29</v>
      </c>
      <c r="D45" s="16">
        <v>0</v>
      </c>
      <c r="G45" s="2"/>
      <c r="H45" s="2"/>
      <c r="I45" s="3"/>
    </row>
    <row r="46" spans="1:9" x14ac:dyDescent="0.35">
      <c r="A46" s="8">
        <v>44</v>
      </c>
      <c r="B46" s="8" t="s">
        <v>9</v>
      </c>
      <c r="C46" s="6" t="s">
        <v>29</v>
      </c>
      <c r="D46" s="16">
        <v>3</v>
      </c>
      <c r="G46" s="2"/>
      <c r="H46" s="2"/>
      <c r="I46" s="3"/>
    </row>
    <row r="47" spans="1:9" x14ac:dyDescent="0.35">
      <c r="A47" s="8">
        <v>45</v>
      </c>
      <c r="B47" s="8" t="s">
        <v>10</v>
      </c>
      <c r="C47" s="6" t="s">
        <v>29</v>
      </c>
      <c r="D47" s="16">
        <v>0</v>
      </c>
      <c r="G47" s="2"/>
      <c r="H47" s="2"/>
      <c r="I47" s="3"/>
    </row>
    <row r="48" spans="1:9" x14ac:dyDescent="0.35">
      <c r="A48" s="8">
        <v>46</v>
      </c>
      <c r="B48" s="8" t="s">
        <v>11</v>
      </c>
      <c r="C48" s="6" t="s">
        <v>29</v>
      </c>
      <c r="D48" s="16">
        <v>0</v>
      </c>
      <c r="G48" s="2"/>
      <c r="H48" s="2"/>
      <c r="I48" s="3"/>
    </row>
    <row r="49" spans="1:9" x14ac:dyDescent="0.35">
      <c r="A49" s="8">
        <v>47</v>
      </c>
      <c r="B49" s="8" t="s">
        <v>12</v>
      </c>
      <c r="C49" s="6" t="s">
        <v>29</v>
      </c>
      <c r="D49" s="16">
        <v>11</v>
      </c>
      <c r="G49" s="2"/>
      <c r="H49" s="2"/>
      <c r="I49" s="3"/>
    </row>
    <row r="50" spans="1:9" x14ac:dyDescent="0.35">
      <c r="A50" s="8">
        <v>48</v>
      </c>
      <c r="B50" s="8" t="s">
        <v>13</v>
      </c>
      <c r="C50" s="6" t="s">
        <v>29</v>
      </c>
      <c r="D50" s="16">
        <v>0</v>
      </c>
      <c r="G50" s="2"/>
      <c r="H50" s="2"/>
      <c r="I50" s="3"/>
    </row>
    <row r="51" spans="1:9" x14ac:dyDescent="0.35">
      <c r="A51" s="8">
        <v>49</v>
      </c>
      <c r="B51" s="8" t="s">
        <v>14</v>
      </c>
      <c r="C51" s="6" t="s">
        <v>29</v>
      </c>
      <c r="D51" s="16">
        <v>0</v>
      </c>
      <c r="G51" s="2"/>
      <c r="H51" s="2"/>
      <c r="I51" s="3"/>
    </row>
    <row r="52" spans="1:9" x14ac:dyDescent="0.35">
      <c r="A52" s="8">
        <v>50</v>
      </c>
      <c r="B52" s="8" t="s">
        <v>15</v>
      </c>
      <c r="C52" s="6" t="s">
        <v>29</v>
      </c>
      <c r="D52" s="16">
        <v>2</v>
      </c>
      <c r="G52" s="2"/>
      <c r="H52" s="2"/>
      <c r="I52" s="3"/>
    </row>
    <row r="53" spans="1:9" x14ac:dyDescent="0.35">
      <c r="A53" s="8">
        <v>51</v>
      </c>
      <c r="B53" s="8" t="s">
        <v>16</v>
      </c>
      <c r="C53" s="6" t="s">
        <v>29</v>
      </c>
      <c r="D53" s="16">
        <v>2</v>
      </c>
      <c r="G53" s="2"/>
      <c r="H53" s="2"/>
      <c r="I53" s="3"/>
    </row>
    <row r="54" spans="1:9" x14ac:dyDescent="0.35">
      <c r="A54" s="8">
        <v>52</v>
      </c>
      <c r="B54" s="8" t="s">
        <v>1</v>
      </c>
      <c r="C54" s="6" t="s">
        <v>18</v>
      </c>
      <c r="D54" s="16">
        <v>0</v>
      </c>
      <c r="G54" s="2"/>
      <c r="H54" s="2"/>
      <c r="I54" s="3"/>
    </row>
    <row r="55" spans="1:9" x14ac:dyDescent="0.35">
      <c r="A55" s="8">
        <v>53</v>
      </c>
      <c r="B55" s="8" t="s">
        <v>0</v>
      </c>
      <c r="C55" s="6" t="s">
        <v>18</v>
      </c>
      <c r="D55" s="16">
        <v>0</v>
      </c>
      <c r="G55" s="2"/>
      <c r="H55" s="2"/>
      <c r="I55" s="3"/>
    </row>
    <row r="56" spans="1:9" x14ac:dyDescent="0.35">
      <c r="A56" s="8">
        <v>54</v>
      </c>
      <c r="B56" s="8" t="s">
        <v>4</v>
      </c>
      <c r="C56" s="6" t="s">
        <v>18</v>
      </c>
      <c r="D56" s="16">
        <v>0</v>
      </c>
      <c r="G56" s="2"/>
      <c r="H56" s="2"/>
      <c r="I56" s="3"/>
    </row>
    <row r="57" spans="1:9" x14ac:dyDescent="0.35">
      <c r="A57" s="8">
        <v>55</v>
      </c>
      <c r="B57" s="8" t="s">
        <v>2</v>
      </c>
      <c r="C57" s="6" t="s">
        <v>18</v>
      </c>
      <c r="D57" s="16">
        <v>0</v>
      </c>
      <c r="G57" s="2"/>
      <c r="H57" s="2"/>
      <c r="I57" s="3"/>
    </row>
    <row r="58" spans="1:9" x14ac:dyDescent="0.35">
      <c r="A58" s="8">
        <v>56</v>
      </c>
      <c r="B58" s="8" t="s">
        <v>3</v>
      </c>
      <c r="C58" s="6" t="s">
        <v>18</v>
      </c>
      <c r="D58" s="16">
        <v>0</v>
      </c>
      <c r="G58" s="2"/>
      <c r="H58" s="2"/>
      <c r="I58" s="3"/>
    </row>
    <row r="59" spans="1:9" x14ac:dyDescent="0.35">
      <c r="A59" s="8">
        <v>57</v>
      </c>
      <c r="B59" s="8" t="s">
        <v>5</v>
      </c>
      <c r="C59" s="6" t="s">
        <v>18</v>
      </c>
      <c r="D59" s="16">
        <v>0</v>
      </c>
      <c r="G59" s="2"/>
      <c r="H59" s="2"/>
      <c r="I59" s="3"/>
    </row>
    <row r="60" spans="1:9" x14ac:dyDescent="0.35">
      <c r="A60" s="8">
        <v>58</v>
      </c>
      <c r="B60" s="8" t="s">
        <v>6</v>
      </c>
      <c r="C60" s="6" t="s">
        <v>18</v>
      </c>
      <c r="D60" s="16">
        <v>0</v>
      </c>
      <c r="G60" s="2"/>
      <c r="H60" s="2"/>
      <c r="I60" s="3"/>
    </row>
    <row r="61" spans="1:9" x14ac:dyDescent="0.35">
      <c r="A61" s="8">
        <v>59</v>
      </c>
      <c r="B61" s="8" t="s">
        <v>7</v>
      </c>
      <c r="C61" s="6" t="s">
        <v>18</v>
      </c>
      <c r="D61" s="16">
        <v>0</v>
      </c>
      <c r="G61" s="2"/>
      <c r="H61" s="2"/>
      <c r="I61" s="3"/>
    </row>
    <row r="62" spans="1:9" x14ac:dyDescent="0.35">
      <c r="A62" s="8">
        <v>60</v>
      </c>
      <c r="B62" s="8" t="s">
        <v>8</v>
      </c>
      <c r="C62" s="6" t="s">
        <v>18</v>
      </c>
      <c r="D62" s="16">
        <v>0</v>
      </c>
      <c r="G62" s="2"/>
      <c r="H62" s="2"/>
      <c r="I62" s="3"/>
    </row>
    <row r="63" spans="1:9" x14ac:dyDescent="0.35">
      <c r="A63" s="8">
        <v>61</v>
      </c>
      <c r="B63" s="8" t="s">
        <v>9</v>
      </c>
      <c r="C63" s="6" t="s">
        <v>18</v>
      </c>
      <c r="D63" s="16">
        <v>1</v>
      </c>
      <c r="G63" s="2"/>
      <c r="H63" s="2"/>
      <c r="I63" s="3"/>
    </row>
    <row r="64" spans="1:9" x14ac:dyDescent="0.35">
      <c r="A64" s="8">
        <v>62</v>
      </c>
      <c r="B64" s="8" t="s">
        <v>10</v>
      </c>
      <c r="C64" s="6" t="s">
        <v>18</v>
      </c>
      <c r="D64" s="16">
        <v>0</v>
      </c>
      <c r="G64" s="2"/>
      <c r="H64" s="2"/>
      <c r="I64" s="3"/>
    </row>
    <row r="65" spans="1:9" x14ac:dyDescent="0.35">
      <c r="A65" s="8">
        <v>63</v>
      </c>
      <c r="B65" s="8" t="s">
        <v>11</v>
      </c>
      <c r="C65" s="6" t="s">
        <v>18</v>
      </c>
      <c r="D65" s="16">
        <v>0</v>
      </c>
      <c r="G65" s="2"/>
      <c r="H65" s="2"/>
      <c r="I65" s="3"/>
    </row>
    <row r="66" spans="1:9" x14ac:dyDescent="0.35">
      <c r="A66" s="8">
        <v>64</v>
      </c>
      <c r="B66" s="8" t="s">
        <v>12</v>
      </c>
      <c r="C66" s="6" t="s">
        <v>18</v>
      </c>
      <c r="D66" s="16">
        <v>0</v>
      </c>
      <c r="G66" s="2"/>
      <c r="H66" s="2"/>
      <c r="I66" s="3"/>
    </row>
    <row r="67" spans="1:9" x14ac:dyDescent="0.35">
      <c r="A67" s="8">
        <v>65</v>
      </c>
      <c r="B67" s="8" t="s">
        <v>13</v>
      </c>
      <c r="C67" s="6" t="s">
        <v>18</v>
      </c>
      <c r="D67" s="16">
        <v>0</v>
      </c>
      <c r="G67" s="2"/>
      <c r="H67" s="2"/>
      <c r="I67" s="3"/>
    </row>
    <row r="68" spans="1:9" x14ac:dyDescent="0.35">
      <c r="A68" s="8">
        <v>66</v>
      </c>
      <c r="B68" s="8" t="s">
        <v>14</v>
      </c>
      <c r="C68" s="6" t="s">
        <v>18</v>
      </c>
      <c r="D68" s="16">
        <v>0</v>
      </c>
      <c r="G68" s="2"/>
      <c r="H68" s="2"/>
      <c r="I68" s="3"/>
    </row>
    <row r="69" spans="1:9" x14ac:dyDescent="0.35">
      <c r="A69" s="8">
        <v>67</v>
      </c>
      <c r="B69" s="8" t="s">
        <v>15</v>
      </c>
      <c r="C69" s="6" t="s">
        <v>18</v>
      </c>
      <c r="D69" s="16">
        <v>0</v>
      </c>
      <c r="G69" s="2"/>
      <c r="H69" s="2"/>
      <c r="I69" s="3"/>
    </row>
    <row r="70" spans="1:9" x14ac:dyDescent="0.35">
      <c r="A70" s="8">
        <v>68</v>
      </c>
      <c r="B70" s="8" t="s">
        <v>16</v>
      </c>
      <c r="C70" s="6" t="s">
        <v>18</v>
      </c>
      <c r="D70" s="16">
        <v>0</v>
      </c>
      <c r="G70" s="2"/>
      <c r="H70" s="2"/>
      <c r="I70" s="3"/>
    </row>
    <row r="71" spans="1:9" x14ac:dyDescent="0.35">
      <c r="A71" s="8">
        <v>69</v>
      </c>
      <c r="B71" s="8" t="s">
        <v>1</v>
      </c>
      <c r="C71" s="6" t="s">
        <v>17</v>
      </c>
      <c r="D71" s="16">
        <v>0</v>
      </c>
      <c r="G71" s="2"/>
      <c r="H71" s="2"/>
      <c r="I71" s="3"/>
    </row>
    <row r="72" spans="1:9" x14ac:dyDescent="0.35">
      <c r="A72" s="8">
        <v>70</v>
      </c>
      <c r="B72" s="8" t="s">
        <v>0</v>
      </c>
      <c r="C72" s="6" t="s">
        <v>17</v>
      </c>
      <c r="D72" s="16">
        <v>0</v>
      </c>
      <c r="G72" s="2"/>
      <c r="H72" s="2"/>
      <c r="I72" s="3"/>
    </row>
    <row r="73" spans="1:9" x14ac:dyDescent="0.35">
      <c r="A73" s="8">
        <v>71</v>
      </c>
      <c r="B73" s="8" t="s">
        <v>4</v>
      </c>
      <c r="C73" s="6" t="s">
        <v>17</v>
      </c>
      <c r="D73" s="16">
        <v>0</v>
      </c>
      <c r="G73" s="2"/>
      <c r="H73" s="2"/>
      <c r="I73" s="3"/>
    </row>
    <row r="74" spans="1:9" x14ac:dyDescent="0.35">
      <c r="A74" s="8">
        <v>72</v>
      </c>
      <c r="B74" s="8" t="s">
        <v>2</v>
      </c>
      <c r="C74" s="6" t="s">
        <v>17</v>
      </c>
      <c r="D74" s="16">
        <v>0</v>
      </c>
      <c r="G74" s="2"/>
      <c r="H74" s="2"/>
      <c r="I74" s="3"/>
    </row>
    <row r="75" spans="1:9" x14ac:dyDescent="0.35">
      <c r="A75" s="8">
        <v>73</v>
      </c>
      <c r="B75" s="8" t="s">
        <v>3</v>
      </c>
      <c r="C75" s="6" t="s">
        <v>17</v>
      </c>
      <c r="D75" s="16">
        <v>0</v>
      </c>
      <c r="G75" s="2"/>
      <c r="H75" s="2"/>
      <c r="I75" s="3"/>
    </row>
    <row r="76" spans="1:9" x14ac:dyDescent="0.35">
      <c r="A76" s="8">
        <v>74</v>
      </c>
      <c r="B76" s="8" t="s">
        <v>5</v>
      </c>
      <c r="C76" s="6" t="s">
        <v>17</v>
      </c>
      <c r="D76" s="16">
        <v>0</v>
      </c>
      <c r="G76" s="2"/>
      <c r="H76" s="2"/>
      <c r="I76" s="3"/>
    </row>
    <row r="77" spans="1:9" x14ac:dyDescent="0.35">
      <c r="A77" s="8">
        <v>75</v>
      </c>
      <c r="B77" s="8" t="s">
        <v>6</v>
      </c>
      <c r="C77" s="6" t="s">
        <v>17</v>
      </c>
      <c r="D77" s="16">
        <v>0</v>
      </c>
      <c r="G77" s="2"/>
      <c r="H77" s="2"/>
      <c r="I77" s="3"/>
    </row>
    <row r="78" spans="1:9" x14ac:dyDescent="0.35">
      <c r="A78" s="8">
        <v>76</v>
      </c>
      <c r="B78" s="8" t="s">
        <v>7</v>
      </c>
      <c r="C78" s="6" t="s">
        <v>17</v>
      </c>
      <c r="D78" s="16">
        <v>0</v>
      </c>
      <c r="G78" s="2"/>
      <c r="H78" s="2"/>
      <c r="I78" s="3"/>
    </row>
    <row r="79" spans="1:9" x14ac:dyDescent="0.35">
      <c r="A79" s="8">
        <v>77</v>
      </c>
      <c r="B79" s="8" t="s">
        <v>8</v>
      </c>
      <c r="C79" s="6" t="s">
        <v>17</v>
      </c>
      <c r="D79" s="16">
        <v>0</v>
      </c>
      <c r="G79" s="2"/>
      <c r="H79" s="2"/>
      <c r="I79" s="3"/>
    </row>
    <row r="80" spans="1:9" x14ac:dyDescent="0.35">
      <c r="A80" s="8">
        <v>78</v>
      </c>
      <c r="B80" s="8" t="s">
        <v>9</v>
      </c>
      <c r="C80" s="6" t="s">
        <v>17</v>
      </c>
      <c r="D80" s="16">
        <v>0</v>
      </c>
      <c r="G80" s="2"/>
      <c r="H80" s="2"/>
      <c r="I80" s="3"/>
    </row>
    <row r="81" spans="1:9" x14ac:dyDescent="0.35">
      <c r="A81" s="8">
        <v>79</v>
      </c>
      <c r="B81" s="8" t="s">
        <v>10</v>
      </c>
      <c r="C81" s="6" t="s">
        <v>17</v>
      </c>
      <c r="D81" s="16">
        <v>0</v>
      </c>
      <c r="G81" s="2"/>
      <c r="H81" s="2"/>
      <c r="I81" s="3"/>
    </row>
    <row r="82" spans="1:9" x14ac:dyDescent="0.35">
      <c r="A82" s="8">
        <v>80</v>
      </c>
      <c r="B82" s="8" t="s">
        <v>11</v>
      </c>
      <c r="C82" s="6" t="s">
        <v>17</v>
      </c>
      <c r="D82" s="16">
        <v>0</v>
      </c>
      <c r="G82" s="2"/>
      <c r="H82" s="2"/>
      <c r="I82" s="3"/>
    </row>
    <row r="83" spans="1:9" x14ac:dyDescent="0.35">
      <c r="A83" s="8">
        <v>81</v>
      </c>
      <c r="B83" s="8" t="s">
        <v>12</v>
      </c>
      <c r="C83" s="6" t="s">
        <v>17</v>
      </c>
      <c r="D83" s="16">
        <v>0</v>
      </c>
      <c r="G83" s="2"/>
      <c r="H83" s="2"/>
      <c r="I83" s="3"/>
    </row>
    <row r="84" spans="1:9" x14ac:dyDescent="0.35">
      <c r="A84" s="8">
        <v>82</v>
      </c>
      <c r="B84" s="8" t="s">
        <v>13</v>
      </c>
      <c r="C84" s="6" t="s">
        <v>17</v>
      </c>
      <c r="D84" s="16">
        <v>0</v>
      </c>
      <c r="G84" s="2"/>
      <c r="H84" s="2"/>
      <c r="I84" s="3"/>
    </row>
    <row r="85" spans="1:9" x14ac:dyDescent="0.35">
      <c r="A85" s="8">
        <v>83</v>
      </c>
      <c r="B85" s="8" t="s">
        <v>14</v>
      </c>
      <c r="C85" s="6" t="s">
        <v>17</v>
      </c>
      <c r="D85" s="16">
        <v>0</v>
      </c>
      <c r="G85" s="2"/>
      <c r="H85" s="2"/>
      <c r="I85" s="3"/>
    </row>
    <row r="86" spans="1:9" x14ac:dyDescent="0.35">
      <c r="A86" s="8">
        <v>84</v>
      </c>
      <c r="B86" s="8" t="s">
        <v>15</v>
      </c>
      <c r="C86" s="6" t="s">
        <v>17</v>
      </c>
      <c r="D86" s="16">
        <v>0</v>
      </c>
      <c r="G86" s="2"/>
      <c r="H86" s="2"/>
      <c r="I86" s="3"/>
    </row>
    <row r="87" spans="1:9" x14ac:dyDescent="0.35">
      <c r="A87" s="8">
        <v>85</v>
      </c>
      <c r="B87" s="8" t="s">
        <v>16</v>
      </c>
      <c r="C87" s="6" t="s">
        <v>17</v>
      </c>
      <c r="D87" s="16">
        <v>0</v>
      </c>
      <c r="G87" s="2"/>
      <c r="H87" s="2"/>
      <c r="I87" s="3"/>
    </row>
    <row r="88" spans="1:9" x14ac:dyDescent="0.35">
      <c r="A88" s="8">
        <v>86</v>
      </c>
      <c r="B88" s="8" t="s">
        <v>1</v>
      </c>
      <c r="C88" s="6" t="s">
        <v>30</v>
      </c>
      <c r="D88" s="16">
        <v>0</v>
      </c>
      <c r="G88" s="2"/>
      <c r="H88" s="2"/>
      <c r="I88" s="3"/>
    </row>
    <row r="89" spans="1:9" x14ac:dyDescent="0.35">
      <c r="A89" s="8">
        <v>87</v>
      </c>
      <c r="B89" s="8" t="s">
        <v>0</v>
      </c>
      <c r="C89" s="6" t="s">
        <v>30</v>
      </c>
      <c r="D89" s="16">
        <v>0</v>
      </c>
      <c r="G89" s="2"/>
      <c r="H89" s="2"/>
      <c r="I89" s="3"/>
    </row>
    <row r="90" spans="1:9" x14ac:dyDescent="0.35">
      <c r="A90" s="8">
        <v>88</v>
      </c>
      <c r="B90" s="8" t="s">
        <v>4</v>
      </c>
      <c r="C90" s="6" t="s">
        <v>30</v>
      </c>
      <c r="D90" s="16">
        <v>0</v>
      </c>
      <c r="G90" s="2"/>
      <c r="H90" s="2"/>
      <c r="I90" s="3"/>
    </row>
    <row r="91" spans="1:9" x14ac:dyDescent="0.35">
      <c r="A91" s="8">
        <v>89</v>
      </c>
      <c r="B91" s="8" t="s">
        <v>2</v>
      </c>
      <c r="C91" s="6" t="s">
        <v>30</v>
      </c>
      <c r="D91" s="16">
        <v>0</v>
      </c>
      <c r="G91" s="2"/>
      <c r="H91" s="2"/>
      <c r="I91" s="3"/>
    </row>
    <row r="92" spans="1:9" x14ac:dyDescent="0.35">
      <c r="A92" s="8">
        <v>90</v>
      </c>
      <c r="B92" s="8" t="s">
        <v>3</v>
      </c>
      <c r="C92" s="6" t="s">
        <v>30</v>
      </c>
      <c r="D92" s="16">
        <v>0</v>
      </c>
      <c r="G92" s="2"/>
      <c r="H92" s="2"/>
      <c r="I92" s="3"/>
    </row>
    <row r="93" spans="1:9" x14ac:dyDescent="0.35">
      <c r="A93" s="8">
        <v>91</v>
      </c>
      <c r="B93" s="8" t="s">
        <v>5</v>
      </c>
      <c r="C93" s="6" t="s">
        <v>30</v>
      </c>
      <c r="D93" s="16">
        <v>0</v>
      </c>
      <c r="G93" s="2"/>
      <c r="H93" s="2"/>
      <c r="I93" s="3"/>
    </row>
    <row r="94" spans="1:9" x14ac:dyDescent="0.35">
      <c r="A94" s="8">
        <v>92</v>
      </c>
      <c r="B94" s="8" t="s">
        <v>6</v>
      </c>
      <c r="C94" s="6" t="s">
        <v>30</v>
      </c>
      <c r="D94" s="16">
        <v>0</v>
      </c>
      <c r="G94" s="2"/>
      <c r="H94" s="2"/>
      <c r="I94" s="3"/>
    </row>
    <row r="95" spans="1:9" x14ac:dyDescent="0.35">
      <c r="A95" s="8">
        <v>93</v>
      </c>
      <c r="B95" s="8" t="s">
        <v>7</v>
      </c>
      <c r="C95" s="6" t="s">
        <v>30</v>
      </c>
      <c r="D95" s="16">
        <v>0</v>
      </c>
      <c r="G95" s="2"/>
      <c r="H95" s="2"/>
      <c r="I95" s="3"/>
    </row>
    <row r="96" spans="1:9" x14ac:dyDescent="0.35">
      <c r="A96" s="8">
        <v>94</v>
      </c>
      <c r="B96" s="8" t="s">
        <v>8</v>
      </c>
      <c r="C96" s="6" t="s">
        <v>30</v>
      </c>
      <c r="D96" s="16">
        <v>0</v>
      </c>
      <c r="G96" s="2"/>
      <c r="H96" s="2"/>
      <c r="I96" s="3"/>
    </row>
    <row r="97" spans="1:9" x14ac:dyDescent="0.35">
      <c r="A97" s="8">
        <v>95</v>
      </c>
      <c r="B97" s="8" t="s">
        <v>9</v>
      </c>
      <c r="C97" s="6" t="s">
        <v>30</v>
      </c>
      <c r="D97" s="16">
        <v>0</v>
      </c>
      <c r="G97" s="2"/>
      <c r="H97" s="2"/>
      <c r="I97" s="3"/>
    </row>
    <row r="98" spans="1:9" x14ac:dyDescent="0.35">
      <c r="A98" s="8">
        <v>96</v>
      </c>
      <c r="B98" s="8" t="s">
        <v>10</v>
      </c>
      <c r="C98" s="6" t="s">
        <v>30</v>
      </c>
      <c r="D98" s="16">
        <v>0</v>
      </c>
      <c r="G98" s="2"/>
      <c r="H98" s="2"/>
      <c r="I98" s="3"/>
    </row>
    <row r="99" spans="1:9" x14ac:dyDescent="0.35">
      <c r="A99" s="8">
        <v>97</v>
      </c>
      <c r="B99" s="8" t="s">
        <v>11</v>
      </c>
      <c r="C99" s="6" t="s">
        <v>30</v>
      </c>
      <c r="D99" s="16">
        <v>1</v>
      </c>
      <c r="G99" s="2"/>
      <c r="H99" s="2"/>
      <c r="I99" s="3"/>
    </row>
    <row r="100" spans="1:9" x14ac:dyDescent="0.35">
      <c r="A100" s="8">
        <v>98</v>
      </c>
      <c r="B100" s="8" t="s">
        <v>12</v>
      </c>
      <c r="C100" s="6" t="s">
        <v>30</v>
      </c>
      <c r="D100" s="16">
        <v>0</v>
      </c>
      <c r="G100" s="2"/>
      <c r="H100" s="2"/>
      <c r="I100" s="3"/>
    </row>
    <row r="101" spans="1:9" x14ac:dyDescent="0.35">
      <c r="A101" s="8">
        <v>99</v>
      </c>
      <c r="B101" s="8" t="s">
        <v>13</v>
      </c>
      <c r="C101" s="6" t="s">
        <v>30</v>
      </c>
      <c r="D101" s="16">
        <v>0</v>
      </c>
      <c r="G101" s="2"/>
      <c r="H101" s="2"/>
      <c r="I101" s="3"/>
    </row>
    <row r="102" spans="1:9" x14ac:dyDescent="0.35">
      <c r="A102" s="8">
        <v>100</v>
      </c>
      <c r="B102" s="8" t="s">
        <v>14</v>
      </c>
      <c r="C102" s="6" t="s">
        <v>30</v>
      </c>
      <c r="D102" s="16">
        <v>0</v>
      </c>
      <c r="G102" s="2"/>
      <c r="H102" s="2"/>
      <c r="I102" s="3"/>
    </row>
    <row r="103" spans="1:9" x14ac:dyDescent="0.35">
      <c r="A103" s="8">
        <v>101</v>
      </c>
      <c r="B103" s="8" t="s">
        <v>15</v>
      </c>
      <c r="C103" s="6" t="s">
        <v>30</v>
      </c>
      <c r="D103" s="16">
        <v>0</v>
      </c>
      <c r="G103" s="2"/>
      <c r="H103" s="2"/>
      <c r="I103" s="3"/>
    </row>
    <row r="104" spans="1:9" x14ac:dyDescent="0.35">
      <c r="A104" s="12">
        <v>102</v>
      </c>
      <c r="B104" s="12" t="s">
        <v>16</v>
      </c>
      <c r="C104" s="20" t="s">
        <v>30</v>
      </c>
      <c r="D104" s="27">
        <v>0</v>
      </c>
      <c r="G104" s="2"/>
      <c r="H104" s="2"/>
      <c r="I104" s="3"/>
    </row>
    <row r="105" spans="1:9" x14ac:dyDescent="0.35">
      <c r="A105" s="29">
        <v>103</v>
      </c>
      <c r="B105" s="30" t="s">
        <v>12</v>
      </c>
      <c r="C105" s="31" t="s">
        <v>96</v>
      </c>
      <c r="D105" s="33">
        <v>1</v>
      </c>
      <c r="G105" s="2"/>
      <c r="H105" s="2"/>
      <c r="I105" s="3"/>
    </row>
    <row r="106" spans="1:9" x14ac:dyDescent="0.35">
      <c r="A106" s="29">
        <v>104</v>
      </c>
      <c r="B106" s="30" t="s">
        <v>103</v>
      </c>
      <c r="C106" s="31" t="s">
        <v>104</v>
      </c>
      <c r="D106" s="33">
        <v>2</v>
      </c>
      <c r="G106" s="2"/>
      <c r="H106" s="2"/>
    </row>
    <row r="107" spans="1:9" x14ac:dyDescent="0.35">
      <c r="A107" s="29">
        <v>105</v>
      </c>
      <c r="B107" s="30" t="s">
        <v>11</v>
      </c>
      <c r="C107" s="31" t="s">
        <v>105</v>
      </c>
      <c r="D107" s="33">
        <v>1</v>
      </c>
      <c r="G107" s="2"/>
      <c r="H107" s="2"/>
    </row>
    <row r="108" spans="1:9" x14ac:dyDescent="0.35">
      <c r="A108" s="29">
        <v>106</v>
      </c>
      <c r="B108" s="30" t="s">
        <v>3</v>
      </c>
      <c r="C108" s="31" t="s">
        <v>23</v>
      </c>
      <c r="D108" s="33">
        <v>1</v>
      </c>
      <c r="G108" s="2"/>
      <c r="H108" s="2"/>
    </row>
    <row r="109" spans="1:9" x14ac:dyDescent="0.35">
      <c r="A109" s="29">
        <v>107</v>
      </c>
      <c r="B109" s="30" t="s">
        <v>14</v>
      </c>
      <c r="C109" s="31" t="s">
        <v>106</v>
      </c>
      <c r="D109" s="33">
        <v>1</v>
      </c>
    </row>
    <row r="110" spans="1:9" x14ac:dyDescent="0.35">
      <c r="A110" s="29">
        <v>108</v>
      </c>
      <c r="B110" s="30" t="s">
        <v>131</v>
      </c>
      <c r="C110" s="31" t="s">
        <v>104</v>
      </c>
      <c r="D110" s="33">
        <v>0</v>
      </c>
    </row>
    <row r="111" spans="1:9" x14ac:dyDescent="0.35">
      <c r="A111" s="29">
        <v>109</v>
      </c>
      <c r="B111" s="30" t="s">
        <v>132</v>
      </c>
      <c r="C111" s="31" t="s">
        <v>27</v>
      </c>
      <c r="D111" s="33">
        <v>0</v>
      </c>
    </row>
    <row r="112" spans="1:9" x14ac:dyDescent="0.35">
      <c r="A112" s="29">
        <v>110</v>
      </c>
      <c r="B112" s="30" t="s">
        <v>135</v>
      </c>
      <c r="C112" s="31" t="s">
        <v>136</v>
      </c>
      <c r="D112" s="33">
        <v>0</v>
      </c>
    </row>
    <row r="113" spans="1:4" x14ac:dyDescent="0.35">
      <c r="A113" s="29">
        <v>111</v>
      </c>
      <c r="B113" s="30" t="s">
        <v>97</v>
      </c>
      <c r="C113" s="31" t="s">
        <v>98</v>
      </c>
      <c r="D113" s="33">
        <v>9</v>
      </c>
    </row>
    <row r="114" spans="1:4" x14ac:dyDescent="0.35">
      <c r="A114" s="29">
        <v>112</v>
      </c>
      <c r="B114" s="30" t="s">
        <v>99</v>
      </c>
      <c r="C114" s="31" t="s">
        <v>100</v>
      </c>
      <c r="D114" s="33">
        <v>10</v>
      </c>
    </row>
    <row r="115" spans="1:4" x14ac:dyDescent="0.35">
      <c r="A115" s="29">
        <v>113</v>
      </c>
      <c r="B115" s="30" t="s">
        <v>101</v>
      </c>
      <c r="C115" s="31" t="s">
        <v>102</v>
      </c>
      <c r="D115" s="33">
        <v>11</v>
      </c>
    </row>
    <row r="116" spans="1:4" x14ac:dyDescent="0.35">
      <c r="A116" s="4"/>
      <c r="B116" s="4"/>
      <c r="C116" s="4"/>
      <c r="D116" s="4"/>
    </row>
    <row r="117" spans="1:4" x14ac:dyDescent="0.35">
      <c r="A117" s="4"/>
      <c r="B117" s="4"/>
      <c r="C117" s="4"/>
      <c r="D117" s="4"/>
    </row>
    <row r="118" spans="1:4" x14ac:dyDescent="0.35">
      <c r="A118" s="4"/>
      <c r="B118" s="4"/>
      <c r="C118" s="4"/>
      <c r="D118" s="4"/>
    </row>
    <row r="119" spans="1:4" x14ac:dyDescent="0.35">
      <c r="A119" s="4"/>
      <c r="B119" s="4"/>
      <c r="C119" s="4"/>
      <c r="D119" s="4"/>
    </row>
    <row r="120" spans="1:4" x14ac:dyDescent="0.35">
      <c r="A120" s="4"/>
      <c r="B120" s="4"/>
      <c r="C120" s="4"/>
      <c r="D120" s="4"/>
    </row>
    <row r="121" spans="1:4" x14ac:dyDescent="0.35">
      <c r="A121" s="4"/>
      <c r="B121" s="4"/>
      <c r="C121" s="4"/>
      <c r="D121" s="4"/>
    </row>
    <row r="122" spans="1:4" x14ac:dyDescent="0.35">
      <c r="A122" s="4"/>
      <c r="B122" s="4"/>
      <c r="C122" s="4"/>
      <c r="D122" s="4"/>
    </row>
    <row r="123" spans="1:4" x14ac:dyDescent="0.35">
      <c r="A123" s="4"/>
      <c r="B123" s="4"/>
      <c r="C123" s="4"/>
      <c r="D123" s="4"/>
    </row>
    <row r="124" spans="1:4" x14ac:dyDescent="0.35">
      <c r="A124" s="4"/>
      <c r="B124" s="4"/>
      <c r="C124" s="4"/>
      <c r="D124" s="4"/>
    </row>
    <row r="125" spans="1:4" x14ac:dyDescent="0.35">
      <c r="A125" s="4"/>
      <c r="B125" s="4"/>
      <c r="C125" s="4"/>
      <c r="D125" s="4"/>
    </row>
    <row r="126" spans="1:4" x14ac:dyDescent="0.35">
      <c r="A126" s="4"/>
      <c r="B126" s="4"/>
      <c r="C126" s="4"/>
      <c r="D126" s="4"/>
    </row>
    <row r="127" spans="1:4" x14ac:dyDescent="0.35">
      <c r="A127" s="4"/>
      <c r="B127" s="4"/>
      <c r="C127" s="4"/>
      <c r="D127" s="4"/>
    </row>
    <row r="128" spans="1:4" x14ac:dyDescent="0.35">
      <c r="A128" s="4"/>
      <c r="B128" s="4"/>
      <c r="C128" s="4"/>
      <c r="D128" s="4"/>
    </row>
    <row r="129" spans="1:4" x14ac:dyDescent="0.35">
      <c r="A129" s="4"/>
      <c r="B129" s="4"/>
      <c r="C129" s="4"/>
      <c r="D129" s="4"/>
    </row>
    <row r="130" spans="1:4" x14ac:dyDescent="0.35">
      <c r="A130" s="4"/>
      <c r="B130" s="4"/>
      <c r="C130" s="4"/>
      <c r="D130" s="4"/>
    </row>
    <row r="131" spans="1:4" x14ac:dyDescent="0.35">
      <c r="A131" s="4"/>
      <c r="B131" s="4"/>
      <c r="C131" s="4"/>
      <c r="D131" s="4"/>
    </row>
    <row r="132" spans="1:4" x14ac:dyDescent="0.35">
      <c r="A132" s="4"/>
      <c r="B132" s="4"/>
      <c r="C132" s="4"/>
      <c r="D132" s="4"/>
    </row>
    <row r="133" spans="1:4" x14ac:dyDescent="0.35">
      <c r="A133" s="4"/>
      <c r="B133" s="4"/>
      <c r="C133" s="4"/>
      <c r="D133" s="4"/>
    </row>
    <row r="134" spans="1:4" x14ac:dyDescent="0.35">
      <c r="A134" s="4"/>
      <c r="B134" s="4"/>
      <c r="C134" s="4"/>
      <c r="D134" s="4"/>
    </row>
    <row r="135" spans="1:4" x14ac:dyDescent="0.35">
      <c r="A135" s="4"/>
      <c r="B135" s="4"/>
      <c r="C135" s="4"/>
      <c r="D135" s="4"/>
    </row>
    <row r="136" spans="1:4" x14ac:dyDescent="0.35">
      <c r="A136" s="4"/>
      <c r="B136" s="4"/>
      <c r="C136" s="4"/>
      <c r="D136" s="4"/>
    </row>
    <row r="137" spans="1:4" x14ac:dyDescent="0.35">
      <c r="A137" s="4"/>
      <c r="B137" s="4"/>
      <c r="C137" s="4"/>
      <c r="D137" s="4"/>
    </row>
    <row r="138" spans="1:4" x14ac:dyDescent="0.35">
      <c r="A138" s="4"/>
      <c r="B138" s="4"/>
      <c r="C138" s="4"/>
      <c r="D138" s="4"/>
    </row>
    <row r="139" spans="1:4" x14ac:dyDescent="0.35">
      <c r="A139" s="4"/>
      <c r="B139" s="4"/>
      <c r="C139" s="4"/>
      <c r="D139" s="4"/>
    </row>
    <row r="140" spans="1:4" x14ac:dyDescent="0.35">
      <c r="A140" s="4"/>
      <c r="B140" s="4"/>
      <c r="C140" s="4"/>
      <c r="D140" s="4"/>
    </row>
    <row r="141" spans="1:4" x14ac:dyDescent="0.35">
      <c r="A141" s="4"/>
      <c r="B141" s="4"/>
      <c r="C141" s="4"/>
      <c r="D141" s="4"/>
    </row>
    <row r="142" spans="1:4" x14ac:dyDescent="0.35">
      <c r="A142" s="4"/>
      <c r="B142" s="4"/>
      <c r="C142" s="4"/>
      <c r="D142" s="4"/>
    </row>
    <row r="143" spans="1:4" x14ac:dyDescent="0.35">
      <c r="A143" s="4"/>
      <c r="B143" s="4"/>
      <c r="C143" s="4"/>
      <c r="D143" s="4"/>
    </row>
    <row r="144" spans="1:4" x14ac:dyDescent="0.35">
      <c r="A144" s="4"/>
      <c r="B144" s="4"/>
      <c r="C144" s="4"/>
      <c r="D144" s="4"/>
    </row>
    <row r="145" spans="1:4" x14ac:dyDescent="0.35">
      <c r="A145" s="4"/>
      <c r="B145" s="4"/>
      <c r="C145" s="4"/>
      <c r="D145" s="4"/>
    </row>
    <row r="146" spans="1:4" x14ac:dyDescent="0.35">
      <c r="A146" s="4"/>
      <c r="B146" s="4"/>
      <c r="C146" s="4"/>
      <c r="D146" s="4"/>
    </row>
    <row r="147" spans="1:4" x14ac:dyDescent="0.35">
      <c r="A147" s="4"/>
      <c r="B147" s="4"/>
      <c r="C147" s="4"/>
      <c r="D147" s="4"/>
    </row>
    <row r="148" spans="1:4" x14ac:dyDescent="0.35">
      <c r="A148" s="4"/>
      <c r="B148" s="4"/>
      <c r="C148" s="4"/>
      <c r="D148" s="4"/>
    </row>
    <row r="149" spans="1:4" x14ac:dyDescent="0.35">
      <c r="A149" s="4"/>
      <c r="B149" s="4"/>
      <c r="C149" s="4"/>
      <c r="D149" s="4"/>
    </row>
    <row r="150" spans="1:4" x14ac:dyDescent="0.35">
      <c r="A150" s="4"/>
      <c r="B150" s="4"/>
      <c r="C150" s="4"/>
      <c r="D150" s="4"/>
    </row>
    <row r="151" spans="1:4" x14ac:dyDescent="0.35">
      <c r="A151" s="4"/>
      <c r="B151" s="4"/>
      <c r="C151" s="4"/>
      <c r="D151" s="4"/>
    </row>
    <row r="152" spans="1:4" x14ac:dyDescent="0.35">
      <c r="A152" s="4"/>
      <c r="B152" s="4"/>
      <c r="C152" s="4"/>
      <c r="D152" s="4"/>
    </row>
    <row r="153" spans="1:4" x14ac:dyDescent="0.35">
      <c r="A153" s="4"/>
      <c r="B153" s="4"/>
      <c r="C153" s="4"/>
      <c r="D153" s="4"/>
    </row>
    <row r="154" spans="1:4" x14ac:dyDescent="0.35">
      <c r="A154" s="4"/>
      <c r="B154" s="4"/>
      <c r="C154" s="4"/>
      <c r="D154" s="4"/>
    </row>
    <row r="155" spans="1:4" x14ac:dyDescent="0.35">
      <c r="A155" s="4"/>
      <c r="B155" s="4"/>
      <c r="C155" s="4"/>
      <c r="D155" s="4"/>
    </row>
    <row r="156" spans="1:4" x14ac:dyDescent="0.35">
      <c r="A156" s="4"/>
      <c r="B156" s="4"/>
      <c r="C156" s="4"/>
      <c r="D156" s="4"/>
    </row>
    <row r="157" spans="1:4" x14ac:dyDescent="0.35">
      <c r="A157" s="4"/>
      <c r="B157" s="4"/>
      <c r="C157" s="4"/>
      <c r="D157" s="4"/>
    </row>
    <row r="158" spans="1:4" x14ac:dyDescent="0.35">
      <c r="A158" s="4"/>
      <c r="B158" s="4"/>
      <c r="C158" s="4"/>
      <c r="D158" s="4"/>
    </row>
    <row r="159" spans="1:4" x14ac:dyDescent="0.35">
      <c r="A159" s="4"/>
      <c r="B159" s="4"/>
      <c r="C159" s="4"/>
      <c r="D159" s="4"/>
    </row>
    <row r="160" spans="1:4" x14ac:dyDescent="0.35">
      <c r="A160" s="4"/>
      <c r="B160" s="4"/>
      <c r="C160" s="4"/>
      <c r="D160" s="4"/>
    </row>
    <row r="161" spans="1:4" x14ac:dyDescent="0.35">
      <c r="A161" s="4"/>
      <c r="B161" s="4"/>
      <c r="C161" s="4"/>
      <c r="D161" s="4"/>
    </row>
    <row r="162" spans="1:4" x14ac:dyDescent="0.35">
      <c r="A162" s="4"/>
      <c r="B162" s="4"/>
      <c r="C162" s="4"/>
      <c r="D162" s="4"/>
    </row>
    <row r="163" spans="1:4" x14ac:dyDescent="0.35">
      <c r="A163" s="4"/>
      <c r="B163" s="4"/>
      <c r="C163" s="4"/>
      <c r="D163" s="4"/>
    </row>
    <row r="164" spans="1:4" x14ac:dyDescent="0.35">
      <c r="A164" s="4"/>
      <c r="B164" s="4"/>
      <c r="C164" s="4"/>
      <c r="D164" s="4"/>
    </row>
    <row r="165" spans="1:4" x14ac:dyDescent="0.35">
      <c r="A165" s="4"/>
      <c r="B165" s="4"/>
      <c r="C165" s="4"/>
      <c r="D165" s="4"/>
    </row>
    <row r="166" spans="1:4" x14ac:dyDescent="0.35">
      <c r="A166" s="4"/>
      <c r="B166" s="4"/>
      <c r="C166" s="4"/>
      <c r="D166" s="4"/>
    </row>
    <row r="167" spans="1:4" x14ac:dyDescent="0.35">
      <c r="A167" s="4"/>
      <c r="B167" s="4"/>
      <c r="C167" s="4"/>
      <c r="D167" s="4"/>
    </row>
    <row r="168" spans="1:4" x14ac:dyDescent="0.35">
      <c r="A168" s="4"/>
      <c r="B168" s="4"/>
      <c r="C168" s="4"/>
      <c r="D168" s="4"/>
    </row>
    <row r="169" spans="1:4" x14ac:dyDescent="0.35">
      <c r="A169" s="4"/>
      <c r="B169" s="4"/>
      <c r="C169" s="4"/>
      <c r="D169" s="4"/>
    </row>
    <row r="170" spans="1:4" x14ac:dyDescent="0.35">
      <c r="A170" s="4"/>
      <c r="B170" s="4"/>
      <c r="C170" s="4"/>
      <c r="D170" s="4"/>
    </row>
    <row r="171" spans="1:4" x14ac:dyDescent="0.35">
      <c r="A171" s="4"/>
      <c r="B171" s="4"/>
      <c r="C171" s="4"/>
      <c r="D171" s="4"/>
    </row>
    <row r="172" spans="1:4" x14ac:dyDescent="0.35">
      <c r="A172" s="4"/>
      <c r="B172" s="4"/>
      <c r="C172" s="4"/>
      <c r="D172" s="4"/>
    </row>
    <row r="173" spans="1:4" x14ac:dyDescent="0.35">
      <c r="A173" s="4"/>
      <c r="B173" s="4"/>
      <c r="C173" s="4"/>
      <c r="D173" s="4"/>
    </row>
    <row r="174" spans="1:4" x14ac:dyDescent="0.35">
      <c r="A174" s="4"/>
      <c r="B174" s="4"/>
      <c r="C174" s="4"/>
      <c r="D174" s="4"/>
    </row>
    <row r="175" spans="1:4" x14ac:dyDescent="0.35">
      <c r="A175" s="4"/>
      <c r="B175" s="4"/>
      <c r="C175" s="4"/>
      <c r="D175" s="4"/>
    </row>
    <row r="176" spans="1:4" x14ac:dyDescent="0.35">
      <c r="A176" s="4"/>
      <c r="B176" s="4"/>
      <c r="C176" s="4"/>
      <c r="D176" s="4"/>
    </row>
    <row r="177" spans="1:4" x14ac:dyDescent="0.35">
      <c r="A177" s="4"/>
      <c r="B177" s="4"/>
      <c r="C177" s="4"/>
      <c r="D177" s="4"/>
    </row>
    <row r="178" spans="1:4" x14ac:dyDescent="0.35">
      <c r="A178" s="4"/>
      <c r="B178" s="4"/>
      <c r="C178" s="4"/>
      <c r="D178" s="4"/>
    </row>
    <row r="179" spans="1:4" x14ac:dyDescent="0.35">
      <c r="A179" s="4"/>
      <c r="B179" s="4"/>
      <c r="C179" s="4"/>
      <c r="D179" s="4"/>
    </row>
    <row r="180" spans="1:4" x14ac:dyDescent="0.35">
      <c r="A180" s="4"/>
      <c r="B180" s="4"/>
      <c r="C180" s="4"/>
      <c r="D180" s="4"/>
    </row>
    <row r="181" spans="1:4" x14ac:dyDescent="0.35">
      <c r="A181" s="4"/>
      <c r="B181" s="4"/>
      <c r="C181" s="4"/>
      <c r="D181" s="4"/>
    </row>
    <row r="182" spans="1:4" x14ac:dyDescent="0.35">
      <c r="A182" s="4"/>
      <c r="B182" s="4"/>
      <c r="C182" s="4"/>
      <c r="D182" s="4"/>
    </row>
    <row r="183" spans="1:4" x14ac:dyDescent="0.35">
      <c r="A183" s="4"/>
      <c r="B183" s="4"/>
      <c r="C183" s="4"/>
      <c r="D183" s="4"/>
    </row>
    <row r="184" spans="1:4" x14ac:dyDescent="0.35">
      <c r="A184" s="4"/>
      <c r="B184" s="4"/>
      <c r="C184" s="4"/>
      <c r="D184" s="4"/>
    </row>
    <row r="185" spans="1:4" x14ac:dyDescent="0.35">
      <c r="A185" s="4"/>
      <c r="B185" s="4"/>
      <c r="C185" s="4"/>
      <c r="D185" s="4"/>
    </row>
    <row r="186" spans="1:4" x14ac:dyDescent="0.35">
      <c r="A186" s="4"/>
      <c r="B186" s="4"/>
      <c r="C186" s="4"/>
      <c r="D186" s="4"/>
    </row>
    <row r="187" spans="1:4" x14ac:dyDescent="0.35">
      <c r="A187" s="4"/>
      <c r="B187" s="4"/>
      <c r="C187" s="4"/>
      <c r="D187" s="4"/>
    </row>
    <row r="188" spans="1:4" x14ac:dyDescent="0.35">
      <c r="A188" s="4"/>
      <c r="B188" s="4"/>
      <c r="C188" s="4"/>
      <c r="D188" s="4"/>
    </row>
    <row r="189" spans="1:4" x14ac:dyDescent="0.35">
      <c r="A189" s="4"/>
      <c r="B189" s="4"/>
      <c r="C189" s="4"/>
      <c r="D189" s="4"/>
    </row>
    <row r="190" spans="1:4" x14ac:dyDescent="0.35">
      <c r="A190" s="4"/>
      <c r="B190" s="4"/>
      <c r="C190" s="4"/>
      <c r="D190" s="4"/>
    </row>
    <row r="191" spans="1:4" x14ac:dyDescent="0.35">
      <c r="A191" s="4"/>
      <c r="B191" s="4"/>
      <c r="C191" s="4"/>
      <c r="D191" s="4"/>
    </row>
    <row r="192" spans="1:4" x14ac:dyDescent="0.35">
      <c r="A192" s="4"/>
      <c r="B192" s="4"/>
      <c r="C192" s="4"/>
      <c r="D192" s="4"/>
    </row>
    <row r="193" spans="1:4" x14ac:dyDescent="0.35">
      <c r="A193" s="4"/>
      <c r="B193" s="4"/>
      <c r="C193" s="4"/>
      <c r="D193" s="4"/>
    </row>
    <row r="194" spans="1:4" x14ac:dyDescent="0.35">
      <c r="A194" s="4"/>
      <c r="B194" s="4"/>
      <c r="C194" s="4"/>
      <c r="D194" s="4"/>
    </row>
    <row r="195" spans="1:4" x14ac:dyDescent="0.35">
      <c r="A195" s="4"/>
      <c r="B195" s="4"/>
      <c r="C195" s="4"/>
      <c r="D195" s="4"/>
    </row>
    <row r="196" spans="1:4" x14ac:dyDescent="0.35">
      <c r="A196" s="4"/>
      <c r="B196" s="4"/>
      <c r="C196" s="4"/>
      <c r="D196" s="4"/>
    </row>
    <row r="197" spans="1:4" x14ac:dyDescent="0.35">
      <c r="A197" s="4"/>
      <c r="B197" s="4"/>
      <c r="C197" s="4"/>
      <c r="D197" s="4"/>
    </row>
    <row r="198" spans="1:4" x14ac:dyDescent="0.35">
      <c r="A198" s="4"/>
      <c r="B198" s="4"/>
      <c r="C198" s="4"/>
      <c r="D198" s="4"/>
    </row>
    <row r="199" spans="1:4" x14ac:dyDescent="0.35">
      <c r="A199" s="4"/>
      <c r="B199" s="4"/>
      <c r="C199" s="4"/>
      <c r="D199" s="4"/>
    </row>
    <row r="200" spans="1:4" x14ac:dyDescent="0.35">
      <c r="A200" s="4"/>
      <c r="B200" s="4"/>
      <c r="C200" s="4"/>
      <c r="D200" s="4"/>
    </row>
    <row r="201" spans="1:4" x14ac:dyDescent="0.35">
      <c r="A201" s="4"/>
      <c r="B201" s="4"/>
      <c r="C201" s="4"/>
      <c r="D201" s="4"/>
    </row>
    <row r="202" spans="1:4" x14ac:dyDescent="0.35">
      <c r="A202" s="4"/>
      <c r="B202" s="4"/>
      <c r="C202" s="4"/>
      <c r="D202" s="4"/>
    </row>
    <row r="203" spans="1:4" x14ac:dyDescent="0.35">
      <c r="A203" s="4"/>
      <c r="B203" s="4"/>
      <c r="C203" s="4"/>
      <c r="D203" s="4"/>
    </row>
    <row r="204" spans="1:4" x14ac:dyDescent="0.35">
      <c r="A204" s="4"/>
      <c r="B204" s="4"/>
      <c r="C204" s="4"/>
      <c r="D204" s="4"/>
    </row>
    <row r="205" spans="1:4" x14ac:dyDescent="0.35">
      <c r="A205" s="4"/>
      <c r="B205" s="4"/>
      <c r="C205" s="4"/>
      <c r="D205" s="4"/>
    </row>
    <row r="206" spans="1:4" x14ac:dyDescent="0.35">
      <c r="A206" s="4"/>
      <c r="B206" s="4"/>
      <c r="C206" s="4"/>
      <c r="D206" s="4"/>
    </row>
    <row r="207" spans="1:4" x14ac:dyDescent="0.35">
      <c r="A207" s="4"/>
      <c r="B207" s="4"/>
      <c r="C207" s="4"/>
      <c r="D207" s="4"/>
    </row>
    <row r="208" spans="1:4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</sheetData>
  <phoneticPr fontId="5" type="noConversion"/>
  <dataValidations count="2">
    <dataValidation type="whole" operator="greaterThanOrEqual" showInputMessage="1" showErrorMessage="1" sqref="D3:D115" xr:uid="{7A24A225-F59B-426D-856E-7FA3E04C447A}">
      <formula1>0</formula1>
    </dataValidation>
    <dataValidation type="whole" operator="greaterThanOrEqual" allowBlank="1" showInputMessage="1" showErrorMessage="1" sqref="E3:E104" xr:uid="{9EAFF505-6A45-4609-BEED-2C8F303F01FE}">
      <formula1>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86A4-8D4B-4511-AB7D-718D2B5BD86F}">
  <dimension ref="A1:V58"/>
  <sheetViews>
    <sheetView zoomScale="70" zoomScaleNormal="70" workbookViewId="0">
      <selection activeCell="J2" sqref="J2"/>
    </sheetView>
  </sheetViews>
  <sheetFormatPr defaultRowHeight="14.5" x14ac:dyDescent="0.35"/>
  <cols>
    <col min="1" max="1" width="20.08984375" style="7" customWidth="1"/>
    <col min="2" max="2" width="24.36328125" style="7" customWidth="1"/>
    <col min="3" max="3" width="19.453125" style="7" customWidth="1"/>
    <col min="4" max="12" width="23.6328125" style="7" customWidth="1"/>
    <col min="13" max="13" width="23.453125" style="7" customWidth="1"/>
    <col min="14" max="14" width="20.81640625" customWidth="1"/>
    <col min="15" max="15" width="21.90625" customWidth="1"/>
    <col min="17" max="17" width="15.453125" customWidth="1"/>
    <col min="18" max="18" width="16.1796875" customWidth="1"/>
    <col min="19" max="19" width="18" customWidth="1"/>
    <col min="21" max="21" width="10.81640625" customWidth="1"/>
    <col min="22" max="22" width="9.90625" customWidth="1"/>
  </cols>
  <sheetData>
    <row r="1" spans="1:22" x14ac:dyDescent="0.35">
      <c r="A1" s="7" t="s">
        <v>32</v>
      </c>
      <c r="B1" s="18" t="s">
        <v>89</v>
      </c>
      <c r="C1" s="19" t="s">
        <v>24</v>
      </c>
      <c r="D1" s="18" t="s">
        <v>26</v>
      </c>
      <c r="E1" s="18" t="s">
        <v>33</v>
      </c>
      <c r="F1" s="18" t="s">
        <v>70</v>
      </c>
      <c r="G1" s="18" t="s">
        <v>71</v>
      </c>
      <c r="H1" s="18" t="s">
        <v>67</v>
      </c>
      <c r="I1" s="18" t="s">
        <v>72</v>
      </c>
      <c r="J1" s="18" t="s">
        <v>65</v>
      </c>
      <c r="K1" s="18" t="s">
        <v>74</v>
      </c>
      <c r="L1" s="18" t="s">
        <v>75</v>
      </c>
      <c r="M1" s="17" t="s">
        <v>73</v>
      </c>
      <c r="N1" s="15" t="s">
        <v>62</v>
      </c>
      <c r="O1" s="14"/>
      <c r="P1" s="37"/>
      <c r="Q1" s="38"/>
      <c r="R1" s="39"/>
      <c r="S1" s="38"/>
      <c r="T1" s="38"/>
      <c r="U1" s="38"/>
      <c r="V1" s="40"/>
    </row>
    <row r="2" spans="1:22" x14ac:dyDescent="0.35">
      <c r="A2" s="26">
        <v>44627</v>
      </c>
      <c r="B2" s="7">
        <v>26</v>
      </c>
      <c r="C2" s="7" t="str">
        <f>IFERROR(VLOOKUP(Ulaz_izlaz[[#This Row],[Šifra proizvoda vrata]],Vrata[],2,FALSE),"")</f>
        <v>2750 X 2250</v>
      </c>
      <c r="D2" s="7" t="str">
        <f>IFERROR(VLOOKUP(Ulaz_izlaz[[#This Row],[Šifra proizvoda vrata]],Vrata[],3,FALSE),"")</f>
        <v>RAL 7016 WOOD</v>
      </c>
      <c r="E2" s="7" t="s">
        <v>107</v>
      </c>
      <c r="F2" s="7">
        <v>0</v>
      </c>
      <c r="G2" s="7" t="str">
        <f>IFERROR(VLOOKUP(Ulaz_izlaz[[#This Row],[Šifra vodilice]],baza_vodilica[],2,FALSE),"")</f>
        <v/>
      </c>
      <c r="H2" s="7" t="s">
        <v>40</v>
      </c>
      <c r="I2" s="7" t="str">
        <f>IFERROR(VLOOKUP(Ulaz_izlaz[[#This Row],[Šifra motora]],baza_motora[],2,FALSE),"")</f>
        <v>LIFTRONIC 700</v>
      </c>
      <c r="J2" s="7" t="s">
        <v>108</v>
      </c>
      <c r="K2" s="7">
        <v>4</v>
      </c>
      <c r="L2" s="7">
        <v>0</v>
      </c>
      <c r="M2" s="53">
        <v>4</v>
      </c>
      <c r="P2" s="41"/>
      <c r="Q2" s="41"/>
      <c r="R2" s="41"/>
      <c r="S2" s="41"/>
      <c r="T2" s="41"/>
      <c r="U2" s="41"/>
      <c r="V2" s="41"/>
    </row>
    <row r="3" spans="1:22" x14ac:dyDescent="0.35">
      <c r="A3" s="26">
        <v>44627</v>
      </c>
      <c r="B3" s="7">
        <v>4</v>
      </c>
      <c r="C3" s="7" t="str">
        <f>IFERROR(VLOOKUP(Ulaz_izlaz[[#This Row],[Šifra proizvoda vrata]],Vrata[],2,FALSE),"")</f>
        <v>2500 X 2125</v>
      </c>
      <c r="D3" s="7" t="str">
        <f>IFERROR(VLOOKUP(Ulaz_izlaz[[#This Row],[Šifra proizvoda vrata]],Vrata[],3,FALSE),"")</f>
        <v>RAL 9016 - WOOD</v>
      </c>
      <c r="E3" s="7" t="s">
        <v>56</v>
      </c>
      <c r="G3" s="7" t="str">
        <f>IFERROR(VLOOKUP(Ulaz_izlaz[[#This Row],[Šifra vodilice]],baza_vodilica[],2,FALSE),"")</f>
        <v/>
      </c>
      <c r="H3" s="7" t="s">
        <v>40</v>
      </c>
      <c r="I3" s="7" t="str">
        <f>IFERROR(VLOOKUP(Ulaz_izlaz[[#This Row],[Šifra motora]],baza_motora[],2,FALSE),"")</f>
        <v>LIFTRONIC 700</v>
      </c>
      <c r="J3" s="7" t="s">
        <v>108</v>
      </c>
      <c r="K3" s="7">
        <v>12</v>
      </c>
      <c r="M3" s="53">
        <v>12</v>
      </c>
    </row>
    <row r="4" spans="1:22" x14ac:dyDescent="0.35">
      <c r="A4" s="26">
        <v>44627</v>
      </c>
      <c r="B4" s="7">
        <v>106</v>
      </c>
      <c r="C4" s="7" t="str">
        <f>IFERROR(VLOOKUP(Ulaz_izlaz[[#This Row],[Šifra proizvoda vrata]],Vrata[],2,FALSE),"")</f>
        <v>2750 X 2125</v>
      </c>
      <c r="D4" s="7" t="str">
        <f>IFERROR(VLOOKUP(Ulaz_izlaz[[#This Row],[Šifra proizvoda vrata]],Vrata[],3,FALSE),"")</f>
        <v>DIAMOND BLACK DURA</v>
      </c>
      <c r="E4" s="7" t="s">
        <v>109</v>
      </c>
      <c r="F4" s="7" t="s">
        <v>47</v>
      </c>
      <c r="G4" s="7" t="str">
        <f>IFERROR(VLOOKUP(Ulaz_izlaz[[#This Row],[Šifra vodilice]],baza_vodilica[],2,FALSE),"")</f>
        <v>VODILICA MOTORA K</v>
      </c>
      <c r="H4" s="7" t="s">
        <v>41</v>
      </c>
      <c r="I4" s="7" t="str">
        <f>IFERROR(VLOOKUP(Ulaz_izlaz[[#This Row],[Šifra motora]],baza_motora[],2,FALSE),"")</f>
        <v>SUPRAMATIC E4</v>
      </c>
      <c r="J4" s="7" t="s">
        <v>108</v>
      </c>
      <c r="K4" s="7">
        <v>1</v>
      </c>
      <c r="L4" s="7">
        <v>1</v>
      </c>
      <c r="M4" s="53">
        <v>1</v>
      </c>
    </row>
    <row r="5" spans="1:22" x14ac:dyDescent="0.35">
      <c r="A5" s="26">
        <v>44627</v>
      </c>
      <c r="B5" s="7">
        <v>39</v>
      </c>
      <c r="C5" s="7" t="str">
        <f>IFERROR(VLOOKUP(Ulaz_izlaz[[#This Row],[Šifra proizvoda vrata]],Vrata[],2,FALSE),"")</f>
        <v>2750 X 2125</v>
      </c>
      <c r="D5" s="7" t="str">
        <f>IFERROR(VLOOKUP(Ulaz_izlaz[[#This Row],[Šifra proizvoda vrata]],Vrata[],3,FALSE),"")</f>
        <v>RAL 7016 PLAN</v>
      </c>
      <c r="E5" s="7" t="s">
        <v>57</v>
      </c>
      <c r="F5" s="7" t="s">
        <v>47</v>
      </c>
      <c r="G5" s="7" t="str">
        <f>IFERROR(VLOOKUP(Ulaz_izlaz[[#This Row],[Šifra vodilice]],baza_vodilica[],2,FALSE),"")</f>
        <v>VODILICA MOTORA K</v>
      </c>
      <c r="H5" s="7" t="s">
        <v>42</v>
      </c>
      <c r="I5" s="7" t="str">
        <f>IFERROR(VLOOKUP(Ulaz_izlaz[[#This Row],[Šifra motora]],baza_motora[],2,FALSE),"")</f>
        <v>PROMATIC 4</v>
      </c>
      <c r="J5" s="7" t="s">
        <v>108</v>
      </c>
      <c r="K5" s="7">
        <v>1</v>
      </c>
      <c r="L5" s="7">
        <v>1</v>
      </c>
      <c r="M5" s="53">
        <v>1</v>
      </c>
    </row>
    <row r="6" spans="1:22" x14ac:dyDescent="0.35">
      <c r="A6" s="26">
        <v>44627</v>
      </c>
      <c r="B6" s="7">
        <v>103</v>
      </c>
      <c r="C6" s="7" t="str">
        <f>IFERROR(VLOOKUP(Ulaz_izlaz[[#This Row],[Šifra proizvoda vrata]],Vrata[],2,FALSE),"")</f>
        <v>5000 X 2250</v>
      </c>
      <c r="D6" s="7" t="str">
        <f>IFERROR(VLOOKUP(Ulaz_izlaz[[#This Row],[Šifra proizvoda vrata]],Vrata[],3,FALSE),"")</f>
        <v>PLANAR CH906</v>
      </c>
      <c r="E6" s="7" t="s">
        <v>50</v>
      </c>
      <c r="F6" s="7" t="s">
        <v>47</v>
      </c>
      <c r="G6" s="10" t="str">
        <f>IFERROR(VLOOKUP(Ulaz_izlaz[[#This Row],[Šifra vodilice]],baza_vodilica[],2,FALSE),"")</f>
        <v>VODILICA MOTORA K</v>
      </c>
      <c r="H6" s="7" t="s">
        <v>41</v>
      </c>
      <c r="I6" s="7" t="str">
        <f>IFERROR(VLOOKUP(Ulaz_izlaz[[#This Row],[Šifra motora]],baza_motora[],2,FALSE),"")</f>
        <v>SUPRAMATIC E4</v>
      </c>
      <c r="J6" s="7" t="s">
        <v>108</v>
      </c>
      <c r="K6" s="7">
        <v>1</v>
      </c>
      <c r="L6" s="7">
        <v>1</v>
      </c>
      <c r="M6" s="53">
        <v>1</v>
      </c>
    </row>
    <row r="7" spans="1:22" x14ac:dyDescent="0.35">
      <c r="A7" s="26">
        <v>44627</v>
      </c>
      <c r="B7" s="7">
        <v>44</v>
      </c>
      <c r="C7" s="7" t="str">
        <f>IFERROR(VLOOKUP(Ulaz_izlaz[[#This Row],[Šifra proizvoda vrata]],Vrata[],2,FALSE),"")</f>
        <v>3000 X 2250</v>
      </c>
      <c r="D7" s="7" t="str">
        <f>IFERROR(VLOOKUP(Ulaz_izlaz[[#This Row],[Šifra proizvoda vrata]],Vrata[],3,FALSE),"")</f>
        <v>RAL 7016 PLAN</v>
      </c>
      <c r="E7" s="7" t="s">
        <v>58</v>
      </c>
      <c r="F7" s="7" t="s">
        <v>47</v>
      </c>
      <c r="G7" s="7" t="str">
        <f>IFERROR(VLOOKUP(Ulaz_izlaz[[#This Row],[Šifra vodilice]],baza_vodilica[],2,FALSE),"")</f>
        <v>VODILICA MOTORA K</v>
      </c>
      <c r="H7" s="7" t="s">
        <v>44</v>
      </c>
      <c r="I7" s="7" t="str">
        <f>IFERROR(VLOOKUP(Ulaz_izlaz[[#This Row],[Šifra motora]],baza_motora[],2,FALSE),"")</f>
        <v>PROLIFT 700</v>
      </c>
      <c r="J7" s="7" t="s">
        <v>128</v>
      </c>
      <c r="K7" s="7">
        <v>1</v>
      </c>
      <c r="L7" s="7">
        <v>1</v>
      </c>
      <c r="M7" s="53">
        <v>1</v>
      </c>
    </row>
    <row r="8" spans="1:22" x14ac:dyDescent="0.35">
      <c r="A8" s="26">
        <v>44627</v>
      </c>
      <c r="B8" s="7">
        <v>53</v>
      </c>
      <c r="C8" s="7" t="str">
        <f>IFERROR(VLOOKUP(Ulaz_izlaz[[#This Row],[Šifra proizvoda vrata]],Vrata[],2,FALSE),"")</f>
        <v>2500 X 2000</v>
      </c>
      <c r="D8" s="7" t="str">
        <f>IFERROR(VLOOKUP(Ulaz_izlaz[[#This Row],[Šifra proizvoda vrata]],Vrata[],3,FALSE),"")</f>
        <v>DARK OAK</v>
      </c>
      <c r="E8" s="7" t="s">
        <v>59</v>
      </c>
      <c r="G8" s="7" t="str">
        <f>IFERROR(VLOOKUP(Ulaz_izlaz[[#This Row],[Šifra vodilice]],baza_vodilica[],2,FALSE),"")</f>
        <v/>
      </c>
      <c r="H8" s="7" t="s">
        <v>40</v>
      </c>
      <c r="I8" s="7" t="str">
        <f>IFERROR(VLOOKUP(Ulaz_izlaz[[#This Row],[Šifra motora]],baza_motora[],2,FALSE),"")</f>
        <v>LIFTRONIC 700</v>
      </c>
      <c r="J8" s="7" t="s">
        <v>108</v>
      </c>
      <c r="K8" s="7">
        <v>1</v>
      </c>
      <c r="M8" s="53">
        <v>1</v>
      </c>
    </row>
    <row r="9" spans="1:22" x14ac:dyDescent="0.35">
      <c r="A9" s="26">
        <v>44627</v>
      </c>
      <c r="B9" s="7">
        <v>13</v>
      </c>
      <c r="C9" s="7" t="str">
        <f>IFERROR(VLOOKUP(Ulaz_izlaz[[#This Row],[Šifra proizvoda vrata]],Vrata[],2,FALSE),"")</f>
        <v>5000 X 2250</v>
      </c>
      <c r="D9" s="7" t="str">
        <f>IFERROR(VLOOKUP(Ulaz_izlaz[[#This Row],[Šifra proizvoda vrata]],Vrata[],3,FALSE),"")</f>
        <v>RAL 9016 - WOOD</v>
      </c>
      <c r="E9" s="7" t="s">
        <v>52</v>
      </c>
      <c r="F9" s="7" t="s">
        <v>47</v>
      </c>
      <c r="G9" s="7" t="str">
        <f>IFERROR(VLOOKUP(Ulaz_izlaz[[#This Row],[Šifra vodilice]],baza_vodilica[],2,FALSE),"")</f>
        <v>VODILICA MOTORA K</v>
      </c>
      <c r="H9" s="7" t="s">
        <v>41</v>
      </c>
      <c r="I9" s="7" t="str">
        <f>IFERROR(VLOOKUP(Ulaz_izlaz[[#This Row],[Šifra motora]],baza_motora[],2,FALSE),"")</f>
        <v>SUPRAMATIC E4</v>
      </c>
      <c r="J9" s="7" t="s">
        <v>108</v>
      </c>
      <c r="K9" s="7">
        <v>1</v>
      </c>
      <c r="L9" s="7">
        <v>1</v>
      </c>
      <c r="M9" s="53">
        <v>1</v>
      </c>
    </row>
    <row r="10" spans="1:22" x14ac:dyDescent="0.35">
      <c r="A10" s="26">
        <v>44627</v>
      </c>
      <c r="B10" s="7">
        <v>93</v>
      </c>
      <c r="C10" s="7" t="str">
        <f>IFERROR(VLOOKUP(Ulaz_izlaz[[#This Row],[Šifra proizvoda vrata]],Vrata[],2,FALSE),"")</f>
        <v>2500 X 2250</v>
      </c>
      <c r="D10" s="7" t="str">
        <f>IFERROR(VLOOKUP(Ulaz_izlaz[[#This Row],[Šifra proizvoda vrata]],Vrata[],3,FALSE),"")</f>
        <v>RAL 9007</v>
      </c>
      <c r="E10" s="7" t="s">
        <v>60</v>
      </c>
      <c r="G10" s="7" t="str">
        <f>IFERROR(VLOOKUP(Ulaz_izlaz[[#This Row],[Šifra vodilice]],baza_vodilica[],2,FALSE),"")</f>
        <v/>
      </c>
      <c r="H10" s="7" t="s">
        <v>40</v>
      </c>
      <c r="I10" s="7" t="str">
        <f>IFERROR(VLOOKUP(Ulaz_izlaz[[#This Row],[Šifra motora]],baza_motora[],2,FALSE),"")</f>
        <v>LIFTRONIC 700</v>
      </c>
      <c r="J10" s="7" t="s">
        <v>108</v>
      </c>
      <c r="K10" s="7">
        <v>10</v>
      </c>
      <c r="M10" s="53">
        <v>10</v>
      </c>
    </row>
    <row r="11" spans="1:22" x14ac:dyDescent="0.35">
      <c r="A11" s="26">
        <v>44627</v>
      </c>
      <c r="B11" s="7">
        <v>50</v>
      </c>
      <c r="C11" s="7" t="str">
        <f>IFERROR(VLOOKUP(Ulaz_izlaz[[#This Row],[Šifra proizvoda vrata]],Vrata[],2,FALSE),"")</f>
        <v>3000 X 2500</v>
      </c>
      <c r="D11" s="7" t="str">
        <f>IFERROR(VLOOKUP(Ulaz_izlaz[[#This Row],[Šifra proizvoda vrata]],Vrata[],3,FALSE),"")</f>
        <v>RAL 7016 PLAN</v>
      </c>
      <c r="E11" s="7" t="s">
        <v>110</v>
      </c>
      <c r="F11" s="7" t="s">
        <v>49</v>
      </c>
      <c r="G11" s="7" t="str">
        <f>IFERROR(VLOOKUP(Ulaz_izlaz[[#This Row],[Šifra vodilice]],baza_vodilica[],2,FALSE),"")</f>
        <v>VODILICA MOTORA L</v>
      </c>
      <c r="H11" s="7" t="s">
        <v>41</v>
      </c>
      <c r="I11" s="7" t="str">
        <f>IFERROR(VLOOKUP(Ulaz_izlaz[[#This Row],[Šifra motora]],baza_motora[],2,FALSE),"")</f>
        <v>SUPRAMATIC E4</v>
      </c>
      <c r="J11" s="7" t="s">
        <v>108</v>
      </c>
      <c r="K11" s="7">
        <v>1</v>
      </c>
      <c r="L11" s="7">
        <v>1</v>
      </c>
      <c r="M11" s="53">
        <v>2</v>
      </c>
      <c r="T11" s="21"/>
    </row>
    <row r="12" spans="1:22" x14ac:dyDescent="0.35">
      <c r="A12" s="26">
        <v>44627</v>
      </c>
      <c r="B12" s="7">
        <v>61</v>
      </c>
      <c r="C12" s="7" t="str">
        <f>IFERROR(VLOOKUP(Ulaz_izlaz[[#This Row],[Šifra proizvoda vrata]],Vrata[],2,FALSE),"")</f>
        <v>3000 X 2250</v>
      </c>
      <c r="D12" s="7" t="str">
        <f>IFERROR(VLOOKUP(Ulaz_izlaz[[#This Row],[Šifra proizvoda vrata]],Vrata[],3,FALSE),"")</f>
        <v>DARK OAK</v>
      </c>
      <c r="E12" s="7" t="s">
        <v>111</v>
      </c>
      <c r="G12" s="7" t="str">
        <f>IFERROR(VLOOKUP(Ulaz_izlaz[[#This Row],[Šifra vodilice]],baza_vodilica[],2,FALSE),"")</f>
        <v/>
      </c>
      <c r="H12" s="7" t="s">
        <v>40</v>
      </c>
      <c r="I12" s="7" t="str">
        <f>IFERROR(VLOOKUP(Ulaz_izlaz[[#This Row],[Šifra motora]],baza_motora[],2,FALSE),"")</f>
        <v>LIFTRONIC 700</v>
      </c>
      <c r="J12" s="7" t="s">
        <v>128</v>
      </c>
      <c r="K12" s="7">
        <v>1</v>
      </c>
      <c r="M12" s="53">
        <v>1</v>
      </c>
    </row>
    <row r="13" spans="1:22" x14ac:dyDescent="0.35">
      <c r="A13" s="26">
        <v>44627</v>
      </c>
      <c r="C13" s="7" t="str">
        <f>IFERROR(VLOOKUP(Ulaz_izlaz[[#This Row],[Šifra proizvoda vrata]],Vrata[],2,FALSE),"")</f>
        <v/>
      </c>
      <c r="D13" s="7" t="str">
        <f>IFERROR(VLOOKUP(Ulaz_izlaz[[#This Row],[Šifra proizvoda vrata]],Vrata[],3,FALSE),"")</f>
        <v/>
      </c>
      <c r="E13" s="7" t="s">
        <v>53</v>
      </c>
      <c r="G13" s="7" t="str">
        <f>IFERROR(VLOOKUP(Ulaz_izlaz[[#This Row],[Šifra vodilice]],baza_vodilica[],2,FALSE),"")</f>
        <v/>
      </c>
      <c r="H13" s="7" t="s">
        <v>46</v>
      </c>
      <c r="I13" s="7" t="str">
        <f>IFERROR(VLOOKUP(Ulaz_izlaz[[#This Row],[Šifra motora]],baza_motora[],2,FALSE),"")</f>
        <v>LINEAMATIC P</v>
      </c>
      <c r="J13" s="7" t="s">
        <v>108</v>
      </c>
      <c r="K13" s="7">
        <v>1</v>
      </c>
      <c r="M13" s="53"/>
    </row>
    <row r="14" spans="1:22" x14ac:dyDescent="0.35">
      <c r="A14" s="26">
        <v>44627</v>
      </c>
      <c r="B14" s="7">
        <v>105</v>
      </c>
      <c r="C14" s="7" t="str">
        <f>IFERROR(VLOOKUP(Ulaz_izlaz[[#This Row],[Šifra proizvoda vrata]],Vrata[],2,FALSE),"")</f>
        <v>4000 X 2250</v>
      </c>
      <c r="D14" s="7" t="str">
        <f>IFERROR(VLOOKUP(Ulaz_izlaz[[#This Row],[Šifra proizvoda vrata]],Vrata[],3,FALSE),"")</f>
        <v>DURAGRAIN</v>
      </c>
      <c r="E14" s="7" t="s">
        <v>51</v>
      </c>
      <c r="F14" s="7" t="s">
        <v>47</v>
      </c>
      <c r="G14" s="7" t="str">
        <f>IFERROR(VLOOKUP(Ulaz_izlaz[[#This Row],[Šifra vodilice]],baza_vodilica[],2,FALSE),"")</f>
        <v>VODILICA MOTORA K</v>
      </c>
      <c r="H14" s="7" t="s">
        <v>41</v>
      </c>
      <c r="I14" s="7" t="str">
        <f>IFERROR(VLOOKUP(Ulaz_izlaz[[#This Row],[Šifra motora]],baza_motora[],2,FALSE),"")</f>
        <v>SUPRAMATIC E4</v>
      </c>
      <c r="J14" s="7" t="s">
        <v>108</v>
      </c>
      <c r="K14" s="7">
        <v>1</v>
      </c>
      <c r="L14" s="7">
        <v>1</v>
      </c>
      <c r="M14" s="53">
        <v>1</v>
      </c>
    </row>
    <row r="15" spans="1:22" x14ac:dyDescent="0.35">
      <c r="A15" s="26">
        <v>44627</v>
      </c>
      <c r="B15" s="7">
        <v>44</v>
      </c>
      <c r="C15" s="7" t="str">
        <f>IFERROR(VLOOKUP(Ulaz_izlaz[[#This Row],[Šifra proizvoda vrata]],Vrata[],2,FALSE),"")</f>
        <v>3000 X 2250</v>
      </c>
      <c r="D15" s="7" t="str">
        <f>IFERROR(VLOOKUP(Ulaz_izlaz[[#This Row],[Šifra proizvoda vrata]],Vrata[],3,FALSE),"")</f>
        <v>RAL 7016 PLAN</v>
      </c>
      <c r="E15" s="7" t="s">
        <v>112</v>
      </c>
      <c r="F15" s="7" t="s">
        <v>48</v>
      </c>
      <c r="G15" s="7" t="str">
        <f>IFERROR(VLOOKUP(Ulaz_izlaz[[#This Row],[Šifra vodilice]],baza_vodilica[],2,FALSE),"")</f>
        <v>VODILICA MOTORA M</v>
      </c>
      <c r="H15" s="7" t="s">
        <v>42</v>
      </c>
      <c r="I15" s="7" t="str">
        <f>IFERROR(VLOOKUP(Ulaz_izlaz[[#This Row],[Šifra motora]],baza_motora[],2,FALSE),"")</f>
        <v>PROMATIC 4</v>
      </c>
      <c r="J15" s="7" t="s">
        <v>108</v>
      </c>
      <c r="K15" s="7">
        <v>1</v>
      </c>
      <c r="L15" s="7">
        <v>1</v>
      </c>
      <c r="M15" s="53">
        <v>1</v>
      </c>
    </row>
    <row r="16" spans="1:22" x14ac:dyDescent="0.35">
      <c r="A16" s="26">
        <v>44627</v>
      </c>
      <c r="B16" s="7">
        <v>3</v>
      </c>
      <c r="C16" s="7" t="str">
        <f>IFERROR(VLOOKUP(Ulaz_izlaz[[#This Row],[Šifra proizvoda vrata]],Vrata[],2,FALSE),"")</f>
        <v>3000 X 2000</v>
      </c>
      <c r="D16" s="7" t="str">
        <f>IFERROR(VLOOKUP(Ulaz_izlaz[[#This Row],[Šifra proizvoda vrata]],Vrata[],3,FALSE),"")</f>
        <v>RAL 9016 - WOOD</v>
      </c>
      <c r="E16" s="7" t="s">
        <v>54</v>
      </c>
      <c r="G16" s="7" t="str">
        <f>IFERROR(VLOOKUP(Ulaz_izlaz[[#This Row],[Šifra vodilice]],baza_vodilica[],2,FALSE),"")</f>
        <v/>
      </c>
      <c r="H16" s="7" t="s">
        <v>41</v>
      </c>
      <c r="I16" s="7" t="str">
        <f>IFERROR(VLOOKUP(Ulaz_izlaz[[#This Row],[Šifra motora]],baza_motora[],2,FALSE),"")</f>
        <v>SUPRAMATIC E4</v>
      </c>
      <c r="J16" s="7" t="s">
        <v>108</v>
      </c>
      <c r="K16" s="7">
        <v>1</v>
      </c>
      <c r="M16" s="53">
        <v>1</v>
      </c>
    </row>
    <row r="17" spans="1:13" x14ac:dyDescent="0.35">
      <c r="A17" s="26">
        <v>44627</v>
      </c>
      <c r="B17" s="7">
        <v>47</v>
      </c>
      <c r="C17" s="7" t="str">
        <f>IFERROR(VLOOKUP(Ulaz_izlaz[[#This Row],[Šifra proizvoda vrata]],Vrata[],2,FALSE),"")</f>
        <v>5000 X 2250</v>
      </c>
      <c r="D17" s="7" t="str">
        <f>IFERROR(VLOOKUP(Ulaz_izlaz[[#This Row],[Šifra proizvoda vrata]],Vrata[],3,FALSE),"")</f>
        <v>RAL 7016 PLAN</v>
      </c>
      <c r="E17" s="7" t="s">
        <v>55</v>
      </c>
      <c r="F17" s="7" t="s">
        <v>47</v>
      </c>
      <c r="G17" s="7" t="str">
        <f>IFERROR(VLOOKUP(Ulaz_izlaz[[#This Row],[Šifra vodilice]],baza_vodilica[],2,FALSE),"")</f>
        <v>VODILICA MOTORA K</v>
      </c>
      <c r="H17" s="7" t="s">
        <v>41</v>
      </c>
      <c r="I17" s="7" t="str">
        <f>IFERROR(VLOOKUP(Ulaz_izlaz[[#This Row],[Šifra motora]],baza_motora[],2,FALSE),"")</f>
        <v>SUPRAMATIC E4</v>
      </c>
      <c r="J17" s="7" t="s">
        <v>108</v>
      </c>
      <c r="K17" s="7">
        <v>1</v>
      </c>
      <c r="L17" s="7">
        <v>1</v>
      </c>
      <c r="M17" s="53">
        <v>1</v>
      </c>
    </row>
    <row r="18" spans="1:13" x14ac:dyDescent="0.35">
      <c r="A18" s="26">
        <v>44627</v>
      </c>
      <c r="B18" s="7">
        <v>73</v>
      </c>
      <c r="C18" s="7" t="str">
        <f>IFERROR(VLOOKUP(Ulaz_izlaz[[#This Row],[Šifra proizvoda vrata]],Vrata[],2,FALSE),"")</f>
        <v>2750 X 2125</v>
      </c>
      <c r="D18" s="7" t="str">
        <f>IFERROR(VLOOKUP(Ulaz_izlaz[[#This Row],[Šifra proizvoda vrata]],Vrata[],3,FALSE),"")</f>
        <v>GOLD OAK</v>
      </c>
      <c r="E18" s="7" t="s">
        <v>129</v>
      </c>
      <c r="F18" s="7">
        <v>0</v>
      </c>
      <c r="G18" s="7" t="str">
        <f>IFERROR(VLOOKUP(Ulaz_izlaz[[#This Row],[Šifra vodilice]],baza_vodilica[],2,FALSE),"")</f>
        <v/>
      </c>
      <c r="H18" s="7">
        <v>0</v>
      </c>
      <c r="I18" s="7" t="str">
        <f>IFERROR(VLOOKUP(Ulaz_izlaz[[#This Row],[Šifra motora]],baza_motora[],2,FALSE),"")</f>
        <v/>
      </c>
      <c r="J18" s="7" t="s">
        <v>108</v>
      </c>
      <c r="K18" s="7">
        <v>0</v>
      </c>
      <c r="L18" s="7">
        <v>0</v>
      </c>
      <c r="M18" s="53">
        <v>1</v>
      </c>
    </row>
    <row r="19" spans="1:13" x14ac:dyDescent="0.35">
      <c r="A19" s="26">
        <v>44627</v>
      </c>
      <c r="B19" s="7">
        <v>84</v>
      </c>
      <c r="C19" s="7" t="str">
        <f>IFERROR(VLOOKUP(Ulaz_izlaz[[#This Row],[Šifra proizvoda vrata]],Vrata[],2,FALSE),"")</f>
        <v>3000 X 2500</v>
      </c>
      <c r="D19" s="7" t="str">
        <f>IFERROR(VLOOKUP(Ulaz_izlaz[[#This Row],[Šifra proizvoda vrata]],Vrata[],3,FALSE),"")</f>
        <v>GOLD OAK</v>
      </c>
      <c r="E19" s="7" t="s">
        <v>114</v>
      </c>
      <c r="F19" s="7" t="s">
        <v>48</v>
      </c>
      <c r="G19" s="50" t="str">
        <f>IFERROR(VLOOKUP(Ulaz_izlaz[[#This Row],[Šifra vodilice]],baza_vodilica[],2,FALSE),"")</f>
        <v>VODILICA MOTORA M</v>
      </c>
      <c r="H19" s="7" t="s">
        <v>41</v>
      </c>
      <c r="I19" s="7" t="str">
        <f>IFERROR(VLOOKUP(Ulaz_izlaz[[#This Row],[Šifra motora]],baza_motora[],2,FALSE),"")</f>
        <v>SUPRAMATIC E4</v>
      </c>
      <c r="J19" s="7" t="s">
        <v>108</v>
      </c>
      <c r="K19" s="7">
        <v>2</v>
      </c>
      <c r="L19" s="7">
        <v>2</v>
      </c>
      <c r="M19" s="53">
        <v>2</v>
      </c>
    </row>
    <row r="20" spans="1:13" x14ac:dyDescent="0.35">
      <c r="A20" s="26">
        <v>44628</v>
      </c>
      <c r="B20" s="7">
        <v>77</v>
      </c>
      <c r="C20" s="7" t="str">
        <f>IFERROR(VLOOKUP(Ulaz_izlaz[[#This Row],[Šifra proizvoda vrata]],Vrata[],2,FALSE),"")</f>
        <v>2750 X 2250</v>
      </c>
      <c r="D20" s="7" t="str">
        <f>IFERROR(VLOOKUP(Ulaz_izlaz[[#This Row],[Šifra proizvoda vrata]],Vrata[],3,FALSE),"")</f>
        <v>GOLD OAK</v>
      </c>
      <c r="E20" s="7" t="s">
        <v>115</v>
      </c>
      <c r="G20" s="7" t="str">
        <f>IFERROR(VLOOKUP(Ulaz_izlaz[[#This Row],[Šifra vodilice]],baza_vodilica[],2,FALSE),"")</f>
        <v/>
      </c>
      <c r="H20" s="7" t="s">
        <v>40</v>
      </c>
      <c r="I20" s="7" t="str">
        <f>IFERROR(VLOOKUP(Ulaz_izlaz[[#This Row],[Šifra motora]],baza_motora[],2,FALSE),"")</f>
        <v>LIFTRONIC 700</v>
      </c>
      <c r="J20" s="7" t="s">
        <v>108</v>
      </c>
      <c r="K20" s="7">
        <v>1</v>
      </c>
      <c r="M20" s="53">
        <v>1</v>
      </c>
    </row>
    <row r="21" spans="1:13" x14ac:dyDescent="0.35">
      <c r="A21" s="26">
        <v>44628</v>
      </c>
      <c r="B21" s="7">
        <v>57</v>
      </c>
      <c r="C21" s="7" t="str">
        <f>IFERROR(VLOOKUP(Ulaz_izlaz[[#This Row],[Šifra proizvoda vrata]],Vrata[],2,FALSE),"")</f>
        <v>3000 X 2125</v>
      </c>
      <c r="D21" s="7" t="str">
        <f>IFERROR(VLOOKUP(Ulaz_izlaz[[#This Row],[Šifra proizvoda vrata]],Vrata[],3,FALSE),"")</f>
        <v>DARK OAK</v>
      </c>
      <c r="E21" s="7" t="s">
        <v>116</v>
      </c>
      <c r="F21" s="7" t="s">
        <v>47</v>
      </c>
      <c r="G21" s="7" t="str">
        <f>IFERROR(VLOOKUP(Ulaz_izlaz[[#This Row],[Šifra vodilice]],baza_vodilica[],2,FALSE),"")</f>
        <v>VODILICA MOTORA K</v>
      </c>
      <c r="H21" s="7" t="s">
        <v>44</v>
      </c>
      <c r="I21" s="7" t="str">
        <f>IFERROR(VLOOKUP(Ulaz_izlaz[[#This Row],[Šifra motora]],baza_motora[],2,FALSE),"")</f>
        <v>PROLIFT 700</v>
      </c>
      <c r="J21" s="7" t="s">
        <v>108</v>
      </c>
      <c r="K21" s="7">
        <v>2</v>
      </c>
      <c r="L21" s="7">
        <v>2</v>
      </c>
      <c r="M21" s="53">
        <v>2</v>
      </c>
    </row>
    <row r="22" spans="1:13" x14ac:dyDescent="0.35">
      <c r="A22" s="26">
        <v>44628</v>
      </c>
      <c r="B22" s="7">
        <v>42</v>
      </c>
      <c r="C22" s="7" t="str">
        <f>IFERROR(VLOOKUP(Ulaz_izlaz[[#This Row],[Šifra proizvoda vrata]],Vrata[],2,FALSE),"")</f>
        <v>2500 X 2250</v>
      </c>
      <c r="D22" s="7" t="str">
        <f>IFERROR(VLOOKUP(Ulaz_izlaz[[#This Row],[Šifra proizvoda vrata]],Vrata[],3,FALSE),"")</f>
        <v>RAL 7016 PLAN</v>
      </c>
      <c r="E22" s="7" t="s">
        <v>117</v>
      </c>
      <c r="F22" s="7" t="s">
        <v>48</v>
      </c>
      <c r="G22" s="7" t="str">
        <f>IFERROR(VLOOKUP(Ulaz_izlaz[[#This Row],[Šifra vodilice]],baza_vodilica[],2,FALSE),"")</f>
        <v>VODILICA MOTORA M</v>
      </c>
      <c r="H22" s="7" t="s">
        <v>44</v>
      </c>
      <c r="I22" s="7" t="str">
        <f>IFERROR(VLOOKUP(Ulaz_izlaz[[#This Row],[Šifra motora]],baza_motora[],2,FALSE),"")</f>
        <v>PROLIFT 700</v>
      </c>
      <c r="J22" s="7" t="s">
        <v>108</v>
      </c>
      <c r="K22" s="7">
        <v>1</v>
      </c>
      <c r="L22" s="7">
        <v>1</v>
      </c>
      <c r="M22" s="53">
        <v>1</v>
      </c>
    </row>
    <row r="23" spans="1:13" x14ac:dyDescent="0.35">
      <c r="A23" s="26">
        <v>44628</v>
      </c>
      <c r="B23" s="7">
        <v>4</v>
      </c>
      <c r="C23" s="7" t="str">
        <f>IFERROR(VLOOKUP(Ulaz_izlaz[[#This Row],[Šifra proizvoda vrata]],Vrata[],2,FALSE),"")</f>
        <v>2500 X 2125</v>
      </c>
      <c r="D23" s="7" t="str">
        <f>IFERROR(VLOOKUP(Ulaz_izlaz[[#This Row],[Šifra proizvoda vrata]],Vrata[],3,FALSE),"")</f>
        <v>RAL 9016 - WOOD</v>
      </c>
      <c r="E23" s="7" t="s">
        <v>118</v>
      </c>
      <c r="G23" s="7" t="str">
        <f>IFERROR(VLOOKUP(Ulaz_izlaz[[#This Row],[Šifra vodilice]],baza_vodilica[],2,FALSE),"")</f>
        <v/>
      </c>
      <c r="H23" s="7" t="s">
        <v>40</v>
      </c>
      <c r="I23" s="7" t="str">
        <f>IFERROR(VLOOKUP(Ulaz_izlaz[[#This Row],[Šifra motora]],baza_motora[],2,FALSE),"")</f>
        <v>LIFTRONIC 700</v>
      </c>
      <c r="J23" s="7" t="s">
        <v>108</v>
      </c>
      <c r="K23" s="7">
        <v>1</v>
      </c>
      <c r="M23" s="53">
        <v>1</v>
      </c>
    </row>
    <row r="24" spans="1:13" x14ac:dyDescent="0.35">
      <c r="A24" s="26">
        <v>44628</v>
      </c>
      <c r="B24" s="7">
        <v>6</v>
      </c>
      <c r="C24" s="7" t="str">
        <f>IFERROR(VLOOKUP(Ulaz_izlaz[[#This Row],[Šifra proizvoda vrata]],Vrata[],2,FALSE),"")</f>
        <v>3000 X 2125</v>
      </c>
      <c r="D24" s="7" t="str">
        <f>IFERROR(VLOOKUP(Ulaz_izlaz[[#This Row],[Šifra proizvoda vrata]],Vrata[],3,FALSE),"")</f>
        <v>RAL 9016 - WOOD</v>
      </c>
      <c r="E24" s="7" t="s">
        <v>119</v>
      </c>
      <c r="G24" s="7" t="str">
        <f>IFERROR(VLOOKUP(Ulaz_izlaz[[#This Row],[Šifra vodilice]],baza_vodilica[],2,FALSE),"")</f>
        <v/>
      </c>
      <c r="H24" s="7" t="s">
        <v>40</v>
      </c>
      <c r="I24" s="7" t="str">
        <f>IFERROR(VLOOKUP(Ulaz_izlaz[[#This Row],[Šifra motora]],baza_motora[],2,FALSE),"")</f>
        <v>LIFTRONIC 700</v>
      </c>
      <c r="J24" s="7" t="s">
        <v>108</v>
      </c>
      <c r="K24" s="7">
        <v>1</v>
      </c>
      <c r="M24" s="53">
        <v>1</v>
      </c>
    </row>
    <row r="25" spans="1:13" x14ac:dyDescent="0.35">
      <c r="A25" s="26">
        <v>44628</v>
      </c>
      <c r="B25" s="7">
        <v>47</v>
      </c>
      <c r="C25" s="7" t="str">
        <f>IFERROR(VLOOKUP(Ulaz_izlaz[[#This Row],[Šifra proizvoda vrata]],Vrata[],2,FALSE),"")</f>
        <v>5000 X 2250</v>
      </c>
      <c r="D25" s="7" t="str">
        <f>IFERROR(VLOOKUP(Ulaz_izlaz[[#This Row],[Šifra proizvoda vrata]],Vrata[],3,FALSE),"")</f>
        <v>RAL 7016 PLAN</v>
      </c>
      <c r="E25" s="7" t="s">
        <v>120</v>
      </c>
      <c r="F25" s="7" t="s">
        <v>47</v>
      </c>
      <c r="G25" s="7" t="str">
        <f>IFERROR(VLOOKUP(Ulaz_izlaz[[#This Row],[Šifra vodilice]],baza_vodilica[],2,FALSE),"")</f>
        <v>VODILICA MOTORA K</v>
      </c>
      <c r="H25" s="7" t="s">
        <v>41</v>
      </c>
      <c r="I25" s="7" t="str">
        <f>IFERROR(VLOOKUP(Ulaz_izlaz[[#This Row],[Šifra motora]],baza_motora[],2,FALSE),"")</f>
        <v>SUPRAMATIC E4</v>
      </c>
      <c r="J25" s="7" t="s">
        <v>108</v>
      </c>
      <c r="K25" s="7">
        <v>1</v>
      </c>
      <c r="L25" s="7">
        <v>1</v>
      </c>
      <c r="M25" s="53">
        <v>1</v>
      </c>
    </row>
    <row r="26" spans="1:13" x14ac:dyDescent="0.35">
      <c r="A26" s="26">
        <v>44628</v>
      </c>
      <c r="B26" s="7">
        <v>72</v>
      </c>
      <c r="C26" s="7" t="str">
        <f>IFERROR(VLOOKUP(Ulaz_izlaz[[#This Row],[Šifra proizvoda vrata]],Vrata[],2,FALSE),"")</f>
        <v>2500 X 2125</v>
      </c>
      <c r="D26" s="7" t="str">
        <f>IFERROR(VLOOKUP(Ulaz_izlaz[[#This Row],[Šifra proizvoda vrata]],Vrata[],3,FALSE),"")</f>
        <v>GOLD OAK</v>
      </c>
      <c r="E26" s="7" t="s">
        <v>121</v>
      </c>
      <c r="G26" s="7" t="str">
        <f>IFERROR(VLOOKUP(Ulaz_izlaz[[#This Row],[Šifra vodilice]],baza_vodilica[],2,FALSE),"")</f>
        <v/>
      </c>
      <c r="H26" s="7" t="s">
        <v>40</v>
      </c>
      <c r="I26" s="7" t="str">
        <f>IFERROR(VLOOKUP(Ulaz_izlaz[[#This Row],[Šifra motora]],baza_motora[],2,FALSE),"")</f>
        <v>LIFTRONIC 700</v>
      </c>
      <c r="J26" s="7" t="s">
        <v>108</v>
      </c>
      <c r="K26" s="7">
        <v>1</v>
      </c>
      <c r="M26" s="53">
        <v>1</v>
      </c>
    </row>
    <row r="27" spans="1:13" x14ac:dyDescent="0.35">
      <c r="A27" s="26">
        <v>44628</v>
      </c>
      <c r="B27" s="7">
        <v>78</v>
      </c>
      <c r="C27" s="7" t="str">
        <f>IFERROR(VLOOKUP(Ulaz_izlaz[[#This Row],[Šifra proizvoda vrata]],Vrata[],2,FALSE),"")</f>
        <v>3000 X 2250</v>
      </c>
      <c r="D27" s="7" t="str">
        <f>IFERROR(VLOOKUP(Ulaz_izlaz[[#This Row],[Šifra proizvoda vrata]],Vrata[],3,FALSE),"")</f>
        <v>GOLD OAK</v>
      </c>
      <c r="E27" s="7" t="s">
        <v>121</v>
      </c>
      <c r="G27" s="7" t="str">
        <f>IFERROR(VLOOKUP(Ulaz_izlaz[[#This Row],[Šifra vodilice]],baza_vodilica[],2,FALSE),"")</f>
        <v/>
      </c>
      <c r="H27" s="7" t="s">
        <v>40</v>
      </c>
      <c r="I27" s="7" t="str">
        <f>IFERROR(VLOOKUP(Ulaz_izlaz[[#This Row],[Šifra motora]],baza_motora[],2,FALSE),"")</f>
        <v>LIFTRONIC 700</v>
      </c>
      <c r="J27" s="7" t="s">
        <v>108</v>
      </c>
      <c r="K27" s="7">
        <v>1</v>
      </c>
      <c r="M27" s="53">
        <v>1</v>
      </c>
    </row>
    <row r="28" spans="1:13" x14ac:dyDescent="0.35">
      <c r="A28" s="26">
        <v>44628</v>
      </c>
      <c r="B28" s="7">
        <v>82</v>
      </c>
      <c r="C28" s="7" t="str">
        <f>IFERROR(VLOOKUP(Ulaz_izlaz[[#This Row],[Šifra proizvoda vrata]],Vrata[],2,FALSE),"")</f>
        <v>2500 X 2500</v>
      </c>
      <c r="D28" s="7" t="str">
        <f>IFERROR(VLOOKUP(Ulaz_izlaz[[#This Row],[Šifra proizvoda vrata]],Vrata[],3,FALSE),"")</f>
        <v>GOLD OAK</v>
      </c>
      <c r="E28" s="7" t="s">
        <v>121</v>
      </c>
      <c r="G28" s="7" t="str">
        <f>IFERROR(VLOOKUP(Ulaz_izlaz[[#This Row],[Šifra vodilice]],baza_vodilica[],2,FALSE),"")</f>
        <v/>
      </c>
      <c r="I28" s="7" t="str">
        <f>IFERROR(VLOOKUP(Ulaz_izlaz[[#This Row],[Šifra motora]],baza_motora[],2,FALSE),"")</f>
        <v/>
      </c>
      <c r="J28" s="7" t="s">
        <v>108</v>
      </c>
      <c r="M28" s="53">
        <v>1</v>
      </c>
    </row>
    <row r="29" spans="1:13" x14ac:dyDescent="0.35">
      <c r="A29" s="26">
        <v>44628</v>
      </c>
      <c r="B29" s="7">
        <v>47</v>
      </c>
      <c r="C29" s="7" t="str">
        <f>IFERROR(VLOOKUP(Ulaz_izlaz[[#This Row],[Šifra proizvoda vrata]],Vrata[],2,FALSE),"")</f>
        <v>5000 X 2250</v>
      </c>
      <c r="D29" s="7" t="str">
        <f>IFERROR(VLOOKUP(Ulaz_izlaz[[#This Row],[Šifra proizvoda vrata]],Vrata[],3,FALSE),"")</f>
        <v>RAL 7016 PLAN</v>
      </c>
      <c r="E29" s="7" t="s">
        <v>122</v>
      </c>
      <c r="F29" s="7" t="s">
        <v>47</v>
      </c>
      <c r="G29" s="7" t="str">
        <f>IFERROR(VLOOKUP(Ulaz_izlaz[[#This Row],[Šifra vodilice]],baza_vodilica[],2,FALSE),"")</f>
        <v>VODILICA MOTORA K</v>
      </c>
      <c r="H29" s="7" t="s">
        <v>41</v>
      </c>
      <c r="I29" s="7" t="str">
        <f>IFERROR(VLOOKUP(Ulaz_izlaz[[#This Row],[Šifra motora]],baza_motora[],2,FALSE),"")</f>
        <v>SUPRAMATIC E4</v>
      </c>
      <c r="J29" s="7" t="s">
        <v>108</v>
      </c>
      <c r="K29" s="7">
        <v>1</v>
      </c>
      <c r="L29" s="7">
        <v>1</v>
      </c>
      <c r="M29" s="53">
        <v>1</v>
      </c>
    </row>
    <row r="30" spans="1:13" x14ac:dyDescent="0.35">
      <c r="A30" s="26">
        <v>44628</v>
      </c>
      <c r="B30" s="7">
        <v>71</v>
      </c>
      <c r="C30" s="7" t="str">
        <f>IFERROR(VLOOKUP(Ulaz_izlaz[[#This Row],[Šifra proizvoda vrata]],Vrata[],2,FALSE),"")</f>
        <v>3000 X 2000</v>
      </c>
      <c r="D30" s="7" t="str">
        <f>IFERROR(VLOOKUP(Ulaz_izlaz[[#This Row],[Šifra proizvoda vrata]],Vrata[],3,FALSE),"")</f>
        <v>GOLD OAK</v>
      </c>
      <c r="E30" s="7" t="s">
        <v>113</v>
      </c>
      <c r="F30" s="7" t="s">
        <v>47</v>
      </c>
      <c r="G30" s="7" t="str">
        <f>IFERROR(VLOOKUP(Ulaz_izlaz[[#This Row],[Šifra vodilice]],baza_vodilica[],2,FALSE),"")</f>
        <v>VODILICA MOTORA K</v>
      </c>
      <c r="H30" s="7" t="s">
        <v>44</v>
      </c>
      <c r="I30" s="7" t="str">
        <f>IFERROR(VLOOKUP(Ulaz_izlaz[[#This Row],[Šifra motora]],baza_motora[],2,FALSE),"")</f>
        <v>PROLIFT 700</v>
      </c>
      <c r="J30" s="7" t="s">
        <v>108</v>
      </c>
      <c r="K30" s="7">
        <v>1</v>
      </c>
      <c r="L30" s="7">
        <v>1</v>
      </c>
      <c r="M30" s="53">
        <v>1</v>
      </c>
    </row>
    <row r="31" spans="1:13" x14ac:dyDescent="0.35">
      <c r="A31" s="26">
        <v>44628</v>
      </c>
      <c r="B31" s="7">
        <v>34</v>
      </c>
      <c r="C31" s="7" t="str">
        <f>IFERROR(VLOOKUP(Ulaz_izlaz[[#This Row],[Šifra proizvoda vrata]],Vrata[],2,FALSE),"")</f>
        <v>5000 X 2500</v>
      </c>
      <c r="D31" s="7" t="str">
        <f>IFERROR(VLOOKUP(Ulaz_izlaz[[#This Row],[Šifra proizvoda vrata]],Vrata[],3,FALSE),"")</f>
        <v>RAL 7016 WOOD</v>
      </c>
      <c r="E31" s="7" t="s">
        <v>123</v>
      </c>
      <c r="F31" s="7" t="s">
        <v>47</v>
      </c>
      <c r="G31" s="7" t="str">
        <f>IFERROR(VLOOKUP(Ulaz_izlaz[[#This Row],[Šifra vodilice]],baza_vodilica[],2,FALSE),"")</f>
        <v>VODILICA MOTORA K</v>
      </c>
      <c r="H31" s="7" t="s">
        <v>41</v>
      </c>
      <c r="I31" s="7" t="str">
        <f>IFERROR(VLOOKUP(Ulaz_izlaz[[#This Row],[Šifra motora]],baza_motora[],2,FALSE),"")</f>
        <v>SUPRAMATIC E4</v>
      </c>
      <c r="J31" s="7" t="s">
        <v>108</v>
      </c>
      <c r="K31" s="7">
        <v>1</v>
      </c>
      <c r="L31" s="7">
        <v>1</v>
      </c>
      <c r="M31" s="53">
        <v>1</v>
      </c>
    </row>
    <row r="32" spans="1:13" x14ac:dyDescent="0.35">
      <c r="A32" s="26">
        <v>44628</v>
      </c>
      <c r="B32" s="7">
        <v>40</v>
      </c>
      <c r="C32" s="7" t="str">
        <f>IFERROR(VLOOKUP(Ulaz_izlaz[[#This Row],[Šifra proizvoda vrata]],Vrata[],2,FALSE),"")</f>
        <v>3000 X 2125</v>
      </c>
      <c r="D32" s="7" t="str">
        <f>IFERROR(VLOOKUP(Ulaz_izlaz[[#This Row],[Šifra proizvoda vrata]],Vrata[],3,FALSE),"")</f>
        <v>RAL 7016 PLAN</v>
      </c>
      <c r="E32" s="7" t="s">
        <v>124</v>
      </c>
      <c r="G32" s="7" t="str">
        <f>IFERROR(VLOOKUP(Ulaz_izlaz[[#This Row],[Šifra vodilice]],baza_vodilica[],2,FALSE),"")</f>
        <v/>
      </c>
      <c r="H32" s="7" t="s">
        <v>40</v>
      </c>
      <c r="I32" s="7" t="str">
        <f>IFERROR(VLOOKUP(Ulaz_izlaz[[#This Row],[Šifra motora]],baza_motora[],2,FALSE),"")</f>
        <v>LIFTRONIC 700</v>
      </c>
      <c r="J32" s="7" t="s">
        <v>108</v>
      </c>
      <c r="K32" s="7">
        <v>1</v>
      </c>
      <c r="M32" s="53">
        <v>1</v>
      </c>
    </row>
    <row r="33" spans="1:13" x14ac:dyDescent="0.35">
      <c r="A33" s="26">
        <v>44628</v>
      </c>
      <c r="B33" s="7">
        <v>19</v>
      </c>
      <c r="C33" s="7" t="str">
        <f>IFERROR(VLOOKUP(Ulaz_izlaz[[#This Row],[Šifra proizvoda vrata]],Vrata[],2,FALSE),"")</f>
        <v>2500 X 2000</v>
      </c>
      <c r="D33" s="7" t="str">
        <f>IFERROR(VLOOKUP(Ulaz_izlaz[[#This Row],[Šifra proizvoda vrata]],Vrata[],3,FALSE),"")</f>
        <v>RAL 7016 WOOD</v>
      </c>
      <c r="E33" s="7" t="s">
        <v>125</v>
      </c>
      <c r="G33" s="7" t="str">
        <f>IFERROR(VLOOKUP(Ulaz_izlaz[[#This Row],[Šifra vodilice]],baza_vodilica[],2,FALSE),"")</f>
        <v/>
      </c>
      <c r="H33" s="7" t="s">
        <v>40</v>
      </c>
      <c r="I33" s="7" t="str">
        <f>IFERROR(VLOOKUP(Ulaz_izlaz[[#This Row],[Šifra motora]],baza_motora[],2,FALSE),"")</f>
        <v>LIFTRONIC 700</v>
      </c>
      <c r="J33" s="7" t="s">
        <v>108</v>
      </c>
      <c r="K33" s="7">
        <v>1</v>
      </c>
      <c r="M33" s="53">
        <v>1</v>
      </c>
    </row>
    <row r="34" spans="1:13" x14ac:dyDescent="0.35">
      <c r="A34" s="26">
        <v>44628</v>
      </c>
      <c r="C34" s="7" t="str">
        <f>IFERROR(VLOOKUP(Ulaz_izlaz[[#This Row],[Šifra proizvoda vrata]],Vrata[],2,FALSE),"")</f>
        <v/>
      </c>
      <c r="D34" s="7" t="str">
        <f>IFERROR(VLOOKUP(Ulaz_izlaz[[#This Row],[Šifra proizvoda vrata]],Vrata[],3,FALSE),"")</f>
        <v/>
      </c>
      <c r="E34" s="7" t="s">
        <v>126</v>
      </c>
      <c r="G34" s="7" t="str">
        <f>IFERROR(VLOOKUP(Ulaz_izlaz[[#This Row],[Šifra vodilice]],baza_vodilica[],2,FALSE),"")</f>
        <v/>
      </c>
      <c r="H34" s="7" t="s">
        <v>46</v>
      </c>
      <c r="I34" s="7" t="str">
        <f>IFERROR(VLOOKUP(Ulaz_izlaz[[#This Row],[Šifra motora]],baza_motora[],2,FALSE),"")</f>
        <v>LINEAMATIC P</v>
      </c>
      <c r="J34" s="7" t="s">
        <v>128</v>
      </c>
      <c r="K34" s="7">
        <v>2</v>
      </c>
      <c r="M34" s="53"/>
    </row>
    <row r="35" spans="1:13" x14ac:dyDescent="0.35">
      <c r="A35" s="26">
        <v>44628</v>
      </c>
      <c r="C35" s="7" t="str">
        <f>IFERROR(VLOOKUP(Ulaz_izlaz[[#This Row],[Šifra proizvoda vrata]],Vrata[],2,FALSE),"")</f>
        <v/>
      </c>
      <c r="D35" s="7" t="str">
        <f>IFERROR(VLOOKUP(Ulaz_izlaz[[#This Row],[Šifra proizvoda vrata]],Vrata[],3,FALSE),"")</f>
        <v/>
      </c>
      <c r="E35" s="7" t="s">
        <v>127</v>
      </c>
      <c r="G35" s="7" t="str">
        <f>IFERROR(VLOOKUP(Ulaz_izlaz[[#This Row],[Šifra vodilice]],baza_vodilica[],2,FALSE),"")</f>
        <v/>
      </c>
      <c r="H35" s="7" t="s">
        <v>46</v>
      </c>
      <c r="I35" s="7" t="str">
        <f>IFERROR(VLOOKUP(Ulaz_izlaz[[#This Row],[Šifra motora]],baza_motora[],2,FALSE),"")</f>
        <v>LINEAMATIC P</v>
      </c>
      <c r="J35" s="7" t="s">
        <v>108</v>
      </c>
      <c r="K35" s="7">
        <v>1</v>
      </c>
      <c r="M35" s="53"/>
    </row>
    <row r="36" spans="1:13" x14ac:dyDescent="0.35">
      <c r="A36" s="26">
        <v>44630</v>
      </c>
      <c r="B36" s="7">
        <v>8</v>
      </c>
      <c r="C36" s="7" t="str">
        <f>IFERROR(VLOOKUP(Ulaz_izlaz[[#This Row],[Šifra proizvoda vrata]],Vrata[],2,FALSE),"")</f>
        <v>2500 X 2250</v>
      </c>
      <c r="D36" s="7" t="str">
        <f>IFERROR(VLOOKUP(Ulaz_izlaz[[#This Row],[Šifra proizvoda vrata]],Vrata[],3,FALSE),"")</f>
        <v>RAL 9016 - WOOD</v>
      </c>
      <c r="E36" s="7" t="s">
        <v>130</v>
      </c>
      <c r="G36" s="7" t="str">
        <f>IFERROR(VLOOKUP(Ulaz_izlaz[[#This Row],[Šifra vodilice]],baza_vodilica[],2,FALSE),"")</f>
        <v/>
      </c>
      <c r="I36" s="7" t="str">
        <f>IFERROR(VLOOKUP(Ulaz_izlaz[[#This Row],[Šifra motora]],baza_motora[],2,FALSE),"")</f>
        <v/>
      </c>
      <c r="J36" s="7" t="s">
        <v>128</v>
      </c>
      <c r="M36" s="53">
        <v>1</v>
      </c>
    </row>
    <row r="37" spans="1:13" x14ac:dyDescent="0.35">
      <c r="A37" s="26">
        <v>44630</v>
      </c>
      <c r="B37" s="52">
        <v>108</v>
      </c>
      <c r="C37" s="52" t="str">
        <f>IFERROR(VLOOKUP(Ulaz_izlaz[[#This Row],[Šifra proizvoda vrata]],Vrata[],2,FALSE),"")</f>
        <v>3000X3000</v>
      </c>
      <c r="D37" s="52" t="str">
        <f>IFERROR(VLOOKUP(Ulaz_izlaz[[#This Row],[Šifra proizvoda vrata]],Vrata[],3,FALSE),"")</f>
        <v>PLANAR 7016</v>
      </c>
      <c r="E37" s="52" t="s">
        <v>133</v>
      </c>
      <c r="F37" s="52"/>
      <c r="G37" s="52" t="str">
        <f>IFERROR(VLOOKUP(Ulaz_izlaz[[#This Row],[Šifra vodilice]],baza_vodilica[],2,FALSE),"")</f>
        <v/>
      </c>
      <c r="H37" s="52"/>
      <c r="I37" s="52" t="str">
        <f>IFERROR(VLOOKUP(Ulaz_izlaz[[#This Row],[Šifra motora]],baza_motora[],2,FALSE),"")</f>
        <v/>
      </c>
      <c r="J37" s="52" t="s">
        <v>108</v>
      </c>
      <c r="K37" s="52"/>
      <c r="L37" s="52"/>
      <c r="M37" s="53">
        <v>3</v>
      </c>
    </row>
    <row r="38" spans="1:13" x14ac:dyDescent="0.35">
      <c r="A38" s="26">
        <v>44630</v>
      </c>
      <c r="B38" s="52">
        <v>109</v>
      </c>
      <c r="C38" s="52" t="str">
        <f>IFERROR(VLOOKUP(Ulaz_izlaz[[#This Row],[Šifra proizvoda vrata]],Vrata[],2,FALSE),"")</f>
        <v>2375 X 2125</v>
      </c>
      <c r="D38" s="52" t="str">
        <f>IFERROR(VLOOKUP(Ulaz_izlaz[[#This Row],[Šifra proizvoda vrata]],Vrata[],3,FALSE),"")</f>
        <v>RAL 9016 - WOOD</v>
      </c>
      <c r="E38" s="52" t="s">
        <v>134</v>
      </c>
      <c r="F38" s="52"/>
      <c r="G38" s="52" t="str">
        <f>IFERROR(VLOOKUP(Ulaz_izlaz[[#This Row],[Šifra vodilice]],baza_vodilica[],2,FALSE),"")</f>
        <v/>
      </c>
      <c r="H38" s="52" t="s">
        <v>40</v>
      </c>
      <c r="I38" s="52" t="str">
        <f>IFERROR(VLOOKUP(Ulaz_izlaz[[#This Row],[Šifra motora]],baza_motora[],2,FALSE),"")</f>
        <v>LIFTRONIC 700</v>
      </c>
      <c r="J38" s="52" t="s">
        <v>108</v>
      </c>
      <c r="K38" s="52">
        <v>1</v>
      </c>
      <c r="L38" s="52"/>
      <c r="M38" s="53">
        <v>1</v>
      </c>
    </row>
    <row r="39" spans="1:13" x14ac:dyDescent="0.35">
      <c r="A39" s="26">
        <v>44630</v>
      </c>
      <c r="B39" s="52">
        <v>110</v>
      </c>
      <c r="C39" s="52" t="str">
        <f>IFERROR(VLOOKUP(Ulaz_izlaz[[#This Row],[Šifra proizvoda vrata]],Vrata[],2,FALSE),"")</f>
        <v>4000 X 2500</v>
      </c>
      <c r="D39" s="52" t="str">
        <f>IFERROR(VLOOKUP(Ulaz_izlaz[[#This Row],[Šifra proizvoda vrata]],Vrata[],3,FALSE),"")</f>
        <v>RAL 7016</v>
      </c>
      <c r="E39" s="52" t="s">
        <v>137</v>
      </c>
      <c r="F39" s="52"/>
      <c r="G39" s="52" t="str">
        <f>IFERROR(VLOOKUP(Ulaz_izlaz[[#This Row],[Šifra vodilice]],baza_vodilica[],2,FALSE),"")</f>
        <v/>
      </c>
      <c r="H39" s="52"/>
      <c r="I39" s="52" t="str">
        <f>IFERROR(VLOOKUP(Ulaz_izlaz[[#This Row],[Šifra motora]],baza_motora[],2,FALSE),"")</f>
        <v/>
      </c>
      <c r="J39" s="52" t="s">
        <v>108</v>
      </c>
      <c r="K39" s="52"/>
      <c r="L39" s="52"/>
      <c r="M39" s="53">
        <v>1</v>
      </c>
    </row>
    <row r="40" spans="1:13" x14ac:dyDescent="0.35">
      <c r="A40" s="26">
        <v>44630</v>
      </c>
      <c r="B40" s="52">
        <v>27</v>
      </c>
      <c r="C40" s="52" t="str">
        <f>IFERROR(VLOOKUP(Ulaz_izlaz[[#This Row],[Šifra proizvoda vrata]],Vrata[],2,FALSE),"")</f>
        <v>3000 X 2250</v>
      </c>
      <c r="D40" s="52" t="str">
        <f>IFERROR(VLOOKUP(Ulaz_izlaz[[#This Row],[Šifra proizvoda vrata]],Vrata[],3,FALSE),"")</f>
        <v>RAL 7016 WOOD</v>
      </c>
      <c r="E40" s="52" t="s">
        <v>138</v>
      </c>
      <c r="F40" s="52"/>
      <c r="G40" s="52" t="str">
        <f>IFERROR(VLOOKUP(Ulaz_izlaz[[#This Row],[Šifra vodilice]],baza_vodilica[],2,FALSE),"")</f>
        <v/>
      </c>
      <c r="H40" s="52"/>
      <c r="I40" s="52" t="str">
        <f>IFERROR(VLOOKUP(Ulaz_izlaz[[#This Row],[Šifra motora]],baza_motora[],2,FALSE),"")</f>
        <v/>
      </c>
      <c r="J40" s="52" t="s">
        <v>108</v>
      </c>
      <c r="K40" s="52"/>
      <c r="L40" s="52"/>
      <c r="M40" s="53">
        <v>2</v>
      </c>
    </row>
    <row r="41" spans="1:13" x14ac:dyDescent="0.35">
      <c r="A41" s="26">
        <v>44630</v>
      </c>
      <c r="B41" s="52">
        <v>43</v>
      </c>
      <c r="C41" s="52" t="str">
        <f>IFERROR(VLOOKUP(Ulaz_izlaz[[#This Row],[Šifra proizvoda vrata]],Vrata[],2,FALSE),"")</f>
        <v>2750 X 2250</v>
      </c>
      <c r="D41" s="52" t="str">
        <f>IFERROR(VLOOKUP(Ulaz_izlaz[[#This Row],[Šifra proizvoda vrata]],Vrata[],3,FALSE),"")</f>
        <v>RAL 7016 PLAN</v>
      </c>
      <c r="E41" s="52" t="s">
        <v>139</v>
      </c>
      <c r="F41" s="52"/>
      <c r="G41" s="52" t="str">
        <f>IFERROR(VLOOKUP(Ulaz_izlaz[[#This Row],[Šifra vodilice]],baza_vodilica[],2,FALSE),"")</f>
        <v/>
      </c>
      <c r="H41" s="52"/>
      <c r="I41" s="52" t="str">
        <f>IFERROR(VLOOKUP(Ulaz_izlaz[[#This Row],[Šifra motora]],baza_motora[],2,FALSE),"")</f>
        <v/>
      </c>
      <c r="J41" s="52" t="s">
        <v>108</v>
      </c>
      <c r="K41" s="52"/>
      <c r="L41" s="52"/>
      <c r="M41" s="53">
        <v>1</v>
      </c>
    </row>
    <row r="42" spans="1:13" x14ac:dyDescent="0.35">
      <c r="A42" s="26">
        <v>44630</v>
      </c>
      <c r="B42" s="52">
        <v>57</v>
      </c>
      <c r="C42" s="52" t="str">
        <f>IFERROR(VLOOKUP(Ulaz_izlaz[[#This Row],[Šifra proizvoda vrata]],Vrata[],2,FALSE),"")</f>
        <v>3000 X 2125</v>
      </c>
      <c r="D42" s="52" t="str">
        <f>IFERROR(VLOOKUP(Ulaz_izlaz[[#This Row],[Šifra proizvoda vrata]],Vrata[],3,FALSE),"")</f>
        <v>DARK OAK</v>
      </c>
      <c r="E42" s="52" t="s">
        <v>140</v>
      </c>
      <c r="F42" s="52"/>
      <c r="G42" s="52" t="str">
        <f>IFERROR(VLOOKUP(Ulaz_izlaz[[#This Row],[Šifra vodilice]],baza_vodilica[],2,FALSE),"")</f>
        <v/>
      </c>
      <c r="H42" s="52"/>
      <c r="I42" s="52" t="str">
        <f>IFERROR(VLOOKUP(Ulaz_izlaz[[#This Row],[Šifra motora]],baza_motora[],2,FALSE),"")</f>
        <v/>
      </c>
      <c r="J42" s="52" t="s">
        <v>108</v>
      </c>
      <c r="K42" s="52"/>
      <c r="L42" s="52"/>
      <c r="M42" s="53">
        <v>1</v>
      </c>
    </row>
    <row r="43" spans="1:13" x14ac:dyDescent="0.35">
      <c r="A43" s="26">
        <v>44630</v>
      </c>
      <c r="B43" s="52">
        <v>59</v>
      </c>
      <c r="C43" s="52" t="str">
        <f>IFERROR(VLOOKUP(Ulaz_izlaz[[#This Row],[Šifra proizvoda vrata]],Vrata[],2,FALSE),"")</f>
        <v>2500 X 2250</v>
      </c>
      <c r="D43" s="52" t="str">
        <f>IFERROR(VLOOKUP(Ulaz_izlaz[[#This Row],[Šifra proizvoda vrata]],Vrata[],3,FALSE),"")</f>
        <v>DARK OAK</v>
      </c>
      <c r="E43" s="52" t="s">
        <v>141</v>
      </c>
      <c r="F43" s="52"/>
      <c r="G43" s="52" t="str">
        <f>IFERROR(VLOOKUP(Ulaz_izlaz[[#This Row],[Šifra vodilice]],baza_vodilica[],2,FALSE),"")</f>
        <v/>
      </c>
      <c r="H43" s="52"/>
      <c r="I43" s="52" t="str">
        <f>IFERROR(VLOOKUP(Ulaz_izlaz[[#This Row],[Šifra motora]],baza_motora[],2,FALSE),"")</f>
        <v/>
      </c>
      <c r="J43" s="52" t="s">
        <v>108</v>
      </c>
      <c r="K43" s="52"/>
      <c r="L43" s="52"/>
      <c r="M43" s="53">
        <v>1</v>
      </c>
    </row>
    <row r="44" spans="1:13" x14ac:dyDescent="0.35">
      <c r="A44" s="26">
        <v>44630</v>
      </c>
      <c r="B44" s="52">
        <v>55</v>
      </c>
      <c r="C44" s="52" t="str">
        <f>IFERROR(VLOOKUP(Ulaz_izlaz[[#This Row],[Šifra proizvoda vrata]],Vrata[],2,FALSE),"")</f>
        <v>2500 X 2125</v>
      </c>
      <c r="D44" s="52" t="str">
        <f>IFERROR(VLOOKUP(Ulaz_izlaz[[#This Row],[Šifra proizvoda vrata]],Vrata[],3,FALSE),"")</f>
        <v>DARK OAK</v>
      </c>
      <c r="E44" s="52" t="s">
        <v>142</v>
      </c>
      <c r="F44" s="52"/>
      <c r="G44" s="52" t="str">
        <f>IFERROR(VLOOKUP(Ulaz_izlaz[[#This Row],[Šifra vodilice]],baza_vodilica[],2,FALSE),"")</f>
        <v/>
      </c>
      <c r="H44" s="52"/>
      <c r="I44" s="52" t="str">
        <f>IFERROR(VLOOKUP(Ulaz_izlaz[[#This Row],[Šifra motora]],baza_motora[],2,FALSE),"")</f>
        <v/>
      </c>
      <c r="J44" s="52" t="s">
        <v>108</v>
      </c>
      <c r="K44" s="52"/>
      <c r="L44" s="52"/>
      <c r="M44" s="53">
        <v>1</v>
      </c>
    </row>
    <row r="45" spans="1:13" x14ac:dyDescent="0.35">
      <c r="A45" s="26">
        <v>44631</v>
      </c>
      <c r="B45" s="52">
        <v>0</v>
      </c>
      <c r="C45" s="52" t="str">
        <f>IFERROR(VLOOKUP(Ulaz_izlaz[[#This Row],[Šifra proizvoda vrata]],Vrata[],2,FALSE),"")</f>
        <v/>
      </c>
      <c r="D45" s="52" t="str">
        <f>IFERROR(VLOOKUP(Ulaz_izlaz[[#This Row],[Šifra proizvoda vrata]],Vrata[],3,FALSE),"")</f>
        <v/>
      </c>
      <c r="E45" s="52" t="s">
        <v>143</v>
      </c>
      <c r="F45" s="52"/>
      <c r="G45" s="52" t="str">
        <f>IFERROR(VLOOKUP(Ulaz_izlaz[[#This Row],[Šifra vodilice]],baza_vodilica[],2,FALSE),"")</f>
        <v/>
      </c>
      <c r="H45" s="52" t="s">
        <v>46</v>
      </c>
      <c r="I45" s="52" t="str">
        <f>IFERROR(VLOOKUP(Ulaz_izlaz[[#This Row],[Šifra motora]],baza_motora[],2,FALSE),"")</f>
        <v>LINEAMATIC P</v>
      </c>
      <c r="J45" s="52" t="s">
        <v>108</v>
      </c>
      <c r="K45" s="52">
        <v>1</v>
      </c>
      <c r="L45" s="52"/>
      <c r="M45" s="53"/>
    </row>
    <row r="46" spans="1:13" x14ac:dyDescent="0.35">
      <c r="A46" s="26">
        <v>44631</v>
      </c>
      <c r="B46" s="52"/>
      <c r="C46" s="52" t="str">
        <f>IFERROR(VLOOKUP(Ulaz_izlaz[[#This Row],[Šifra proizvoda vrata]],Vrata[],2,FALSE),"")</f>
        <v/>
      </c>
      <c r="D46" s="52" t="str">
        <f>IFERROR(VLOOKUP(Ulaz_izlaz[[#This Row],[Šifra proizvoda vrata]],Vrata[],3,FALSE),"")</f>
        <v/>
      </c>
      <c r="E46" s="52" t="s">
        <v>143</v>
      </c>
      <c r="F46" s="52"/>
      <c r="G46" s="52" t="str">
        <f>IFERROR(VLOOKUP(Ulaz_izlaz[[#This Row],[Šifra vodilice]],baza_vodilica[],2,FALSE),"")</f>
        <v/>
      </c>
      <c r="H46" s="52" t="s">
        <v>45</v>
      </c>
      <c r="I46" s="52" t="str">
        <f>IFERROR(VLOOKUP(Ulaz_izlaz[[#This Row],[Šifra motora]],baza_motora[],2,FALSE),"")</f>
        <v>ROTAMATIC 2P</v>
      </c>
      <c r="J46" s="52" t="s">
        <v>108</v>
      </c>
      <c r="K46" s="52">
        <v>1</v>
      </c>
      <c r="L46" s="52"/>
      <c r="M46" s="53"/>
    </row>
    <row r="47" spans="1:13" x14ac:dyDescent="0.35">
      <c r="A47" s="26">
        <v>44631</v>
      </c>
      <c r="B47" s="52">
        <v>47</v>
      </c>
      <c r="C47" s="52" t="str">
        <f>IFERROR(VLOOKUP(Ulaz_izlaz[[#This Row],[Šifra proizvoda vrata]],Vrata[],2,FALSE),"")</f>
        <v>5000 X 2250</v>
      </c>
      <c r="D47" s="52" t="str">
        <f>IFERROR(VLOOKUP(Ulaz_izlaz[[#This Row],[Šifra proizvoda vrata]],Vrata[],3,FALSE),"")</f>
        <v>RAL 7016 PLAN</v>
      </c>
      <c r="E47" s="52" t="s">
        <v>143</v>
      </c>
      <c r="F47" s="52" t="s">
        <v>47</v>
      </c>
      <c r="G47" s="52" t="str">
        <f>IFERROR(VLOOKUP(Ulaz_izlaz[[#This Row],[Šifra vodilice]],baza_vodilica[],2,FALSE),"")</f>
        <v>VODILICA MOTORA K</v>
      </c>
      <c r="H47" s="52" t="s">
        <v>41</v>
      </c>
      <c r="I47" s="52" t="str">
        <f>IFERROR(VLOOKUP(Ulaz_izlaz[[#This Row],[Šifra motora]],baza_motora[],2,FALSE),"")</f>
        <v>SUPRAMATIC E4</v>
      </c>
      <c r="J47" s="52" t="s">
        <v>108</v>
      </c>
      <c r="K47" s="52">
        <v>1</v>
      </c>
      <c r="L47" s="52">
        <v>1</v>
      </c>
      <c r="M47" s="53">
        <v>1</v>
      </c>
    </row>
    <row r="48" spans="1:13" x14ac:dyDescent="0.35">
      <c r="A48" s="26">
        <v>44631</v>
      </c>
      <c r="B48" s="52">
        <v>53</v>
      </c>
      <c r="C48" s="52" t="str">
        <f>IFERROR(VLOOKUP(Ulaz_izlaz[[#This Row],[Šifra proizvoda vrata]],Vrata[],2,FALSE),"")</f>
        <v>2500 X 2000</v>
      </c>
      <c r="D48" s="52" t="str">
        <f>IFERROR(VLOOKUP(Ulaz_izlaz[[#This Row],[Šifra proizvoda vrata]],Vrata[],3,FALSE),"")</f>
        <v>DARK OAK</v>
      </c>
      <c r="E48" s="52" t="s">
        <v>143</v>
      </c>
      <c r="F48" s="52" t="s">
        <v>47</v>
      </c>
      <c r="G48" s="52" t="str">
        <f>IFERROR(VLOOKUP(Ulaz_izlaz[[#This Row],[Šifra vodilice]],baza_vodilica[],2,FALSE),"")</f>
        <v>VODILICA MOTORA K</v>
      </c>
      <c r="H48" s="52" t="s">
        <v>42</v>
      </c>
      <c r="I48" s="52" t="str">
        <f>IFERROR(VLOOKUP(Ulaz_izlaz[[#This Row],[Šifra motora]],baza_motora[],2,FALSE),"")</f>
        <v>PROMATIC 4</v>
      </c>
      <c r="J48" s="52" t="s">
        <v>108</v>
      </c>
      <c r="K48" s="52">
        <v>1</v>
      </c>
      <c r="L48" s="52">
        <v>1</v>
      </c>
      <c r="M48" s="53">
        <v>1</v>
      </c>
    </row>
    <row r="49" spans="1:13" x14ac:dyDescent="0.35">
      <c r="A49" s="26">
        <v>44631</v>
      </c>
      <c r="B49" s="52">
        <v>53</v>
      </c>
      <c r="C49" s="52" t="str">
        <f>IFERROR(VLOOKUP(Ulaz_izlaz[[#This Row],[Šifra proizvoda vrata]],Vrata[],2,FALSE),"")</f>
        <v>2500 X 2000</v>
      </c>
      <c r="D49" s="52" t="str">
        <f>IFERROR(VLOOKUP(Ulaz_izlaz[[#This Row],[Šifra proizvoda vrata]],Vrata[],3,FALSE),"")</f>
        <v>DARK OAK</v>
      </c>
      <c r="E49" s="52" t="s">
        <v>144</v>
      </c>
      <c r="F49" s="52"/>
      <c r="G49" s="52" t="str">
        <f>IFERROR(VLOOKUP(Ulaz_izlaz[[#This Row],[Šifra vodilice]],baza_vodilica[],2,FALSE),"")</f>
        <v/>
      </c>
      <c r="H49" s="52" t="s">
        <v>40</v>
      </c>
      <c r="I49" s="52" t="str">
        <f>IFERROR(VLOOKUP(Ulaz_izlaz[[#This Row],[Šifra motora]],baza_motora[],2,FALSE),"")</f>
        <v>LIFTRONIC 700</v>
      </c>
      <c r="J49" s="52" t="s">
        <v>108</v>
      </c>
      <c r="K49" s="52">
        <v>1</v>
      </c>
      <c r="L49" s="52"/>
      <c r="M49" s="53">
        <v>1</v>
      </c>
    </row>
    <row r="50" spans="1:13" x14ac:dyDescent="0.35">
      <c r="A50" s="26">
        <v>44631</v>
      </c>
      <c r="B50" s="52"/>
      <c r="C50" s="52" t="str">
        <f>IFERROR(VLOOKUP(Ulaz_izlaz[[#This Row],[Šifra proizvoda vrata]],Vrata[],2,FALSE),"")</f>
        <v/>
      </c>
      <c r="D50" s="52" t="str">
        <f>IFERROR(VLOOKUP(Ulaz_izlaz[[#This Row],[Šifra proizvoda vrata]],Vrata[],3,FALSE),"")</f>
        <v/>
      </c>
      <c r="E50" s="52"/>
      <c r="F50" s="52"/>
      <c r="G50" s="52" t="str">
        <f>IFERROR(VLOOKUP(Ulaz_izlaz[[#This Row],[Šifra vodilice]],baza_vodilica[],2,FALSE),"")</f>
        <v/>
      </c>
      <c r="H50" s="52"/>
      <c r="I50" s="52" t="str">
        <f>IFERROR(VLOOKUP(Ulaz_izlaz[[#This Row],[Šifra motora]],baza_motora[],2,FALSE),"")</f>
        <v/>
      </c>
      <c r="J50" s="52" t="s">
        <v>66</v>
      </c>
      <c r="K50" s="52"/>
      <c r="L50" s="52"/>
      <c r="M50" s="53"/>
    </row>
    <row r="51" spans="1:13" x14ac:dyDescent="0.35">
      <c r="A51" s="26">
        <v>44631</v>
      </c>
      <c r="B51" s="52"/>
      <c r="C51" s="52" t="str">
        <f>IFERROR(VLOOKUP(Ulaz_izlaz[[#This Row],[Šifra proizvoda vrata]],Vrata[],2,FALSE),"")</f>
        <v/>
      </c>
      <c r="D51" s="52" t="str">
        <f>IFERROR(VLOOKUP(Ulaz_izlaz[[#This Row],[Šifra proizvoda vrata]],Vrata[],3,FALSE),"")</f>
        <v/>
      </c>
      <c r="E51" s="52"/>
      <c r="F51" s="52"/>
      <c r="G51" s="52" t="str">
        <f>IFERROR(VLOOKUP(Ulaz_izlaz[[#This Row],[Šifra vodilice]],baza_vodilica[],2,FALSE),"")</f>
        <v/>
      </c>
      <c r="H51" s="52"/>
      <c r="I51" s="52" t="str">
        <f>IFERROR(VLOOKUP(Ulaz_izlaz[[#This Row],[Šifra motora]],baza_motora[],2,FALSE),"")</f>
        <v/>
      </c>
      <c r="J51" s="52" t="s">
        <v>66</v>
      </c>
      <c r="K51" s="52"/>
      <c r="L51" s="52"/>
      <c r="M51" s="53"/>
    </row>
    <row r="52" spans="1:13" x14ac:dyDescent="0.35">
      <c r="A52" s="26">
        <v>44644</v>
      </c>
      <c r="B52" s="52"/>
      <c r="C52" s="52" t="str">
        <f>IFERROR(VLOOKUP(Ulaz_izlaz[[#This Row],[Šifra proizvoda vrata]],Vrata[],2,FALSE),"")</f>
        <v/>
      </c>
      <c r="D52" s="52" t="str">
        <f>IFERROR(VLOOKUP(Ulaz_izlaz[[#This Row],[Šifra proizvoda vrata]],Vrata[],3,FALSE),"")</f>
        <v/>
      </c>
      <c r="E52" s="52"/>
      <c r="F52" s="52"/>
      <c r="G52" s="52" t="str">
        <f>IFERROR(VLOOKUP(Ulaz_izlaz[[#This Row],[Šifra vodilice]],baza_vodilica[],2,FALSE),"")</f>
        <v/>
      </c>
      <c r="H52" s="52"/>
      <c r="I52" s="52" t="str">
        <f>IFERROR(VLOOKUP(Ulaz_izlaz[[#This Row],[Šifra motora]],baza_motora[],2,FALSE),"")</f>
        <v/>
      </c>
      <c r="J52" s="52" t="s">
        <v>66</v>
      </c>
      <c r="K52" s="52"/>
      <c r="L52" s="52"/>
      <c r="M52" s="53"/>
    </row>
    <row r="53" spans="1:13" x14ac:dyDescent="0.35">
      <c r="A53" s="26">
        <v>44645</v>
      </c>
      <c r="B53" s="52">
        <v>53</v>
      </c>
      <c r="C53" s="52" t="str">
        <f>IFERROR(VLOOKUP(Ulaz_izlaz[[#This Row],[Šifra proizvoda vrata]],Vrata[],2,FALSE),"")</f>
        <v>2500 X 2000</v>
      </c>
      <c r="D53" s="52" t="str">
        <f>IFERROR(VLOOKUP(Ulaz_izlaz[[#This Row],[Šifra proizvoda vrata]],Vrata[],3,FALSE),"")</f>
        <v>DARK OAK</v>
      </c>
      <c r="E53" s="52"/>
      <c r="F53" s="52"/>
      <c r="G53" s="52" t="str">
        <f>IFERROR(VLOOKUP(Ulaz_izlaz[[#This Row],[Šifra vodilice]],baza_vodilica[],2,FALSE),"")</f>
        <v/>
      </c>
      <c r="H53" s="52"/>
      <c r="I53" s="52" t="str">
        <f>IFERROR(VLOOKUP(Ulaz_izlaz[[#This Row],[Šifra motora]],baza_motora[],2,FALSE),"")</f>
        <v/>
      </c>
      <c r="J53" s="52" t="s">
        <v>66</v>
      </c>
      <c r="K53" s="52"/>
      <c r="L53" s="52"/>
      <c r="M53" s="53"/>
    </row>
    <row r="54" spans="1:13" x14ac:dyDescent="0.35">
      <c r="A54" s="26">
        <v>44646</v>
      </c>
      <c r="B54" s="52"/>
      <c r="C54" s="52" t="str">
        <f>IFERROR(VLOOKUP(Ulaz_izlaz[[#This Row],[Šifra proizvoda vrata]],Vrata[],2,FALSE),"")</f>
        <v/>
      </c>
      <c r="D54" s="52" t="str">
        <f>IFERROR(VLOOKUP(Ulaz_izlaz[[#This Row],[Šifra proizvoda vrata]],Vrata[],3,FALSE),"")</f>
        <v/>
      </c>
      <c r="E54" s="52"/>
      <c r="F54" s="52"/>
      <c r="G54" s="52" t="str">
        <f>IFERROR(VLOOKUP(Ulaz_izlaz[[#This Row],[Šifra vodilice]],baza_vodilica[],2,FALSE),"")</f>
        <v/>
      </c>
      <c r="H54" s="52"/>
      <c r="I54" s="52" t="str">
        <f>IFERROR(VLOOKUP(Ulaz_izlaz[[#This Row],[Šifra motora]],baza_motora[],2,FALSE),"")</f>
        <v/>
      </c>
      <c r="J54" s="52" t="s">
        <v>66</v>
      </c>
      <c r="K54" s="52"/>
      <c r="L54" s="52"/>
      <c r="M54" s="53"/>
    </row>
    <row r="55" spans="1:13" x14ac:dyDescent="0.35">
      <c r="A55" s="26">
        <v>44647</v>
      </c>
      <c r="B55" s="52"/>
      <c r="C55" s="52" t="str">
        <f>IFERROR(VLOOKUP(Ulaz_izlaz[[#This Row],[Šifra proizvoda vrata]],Vrata[],2,FALSE),"")</f>
        <v/>
      </c>
      <c r="D55" s="52" t="str">
        <f>IFERROR(VLOOKUP(Ulaz_izlaz[[#This Row],[Šifra proizvoda vrata]],Vrata[],3,FALSE),"")</f>
        <v/>
      </c>
      <c r="E55" s="52"/>
      <c r="F55" s="52"/>
      <c r="G55" s="52" t="str">
        <f>IFERROR(VLOOKUP(Ulaz_izlaz[[#This Row],[Šifra vodilice]],baza_vodilica[],2,FALSE),"")</f>
        <v/>
      </c>
      <c r="H55" s="52"/>
      <c r="I55" s="52" t="str">
        <f>IFERROR(VLOOKUP(Ulaz_izlaz[[#This Row],[Šifra motora]],baza_motora[],2,FALSE),"")</f>
        <v/>
      </c>
      <c r="J55" s="52" t="s">
        <v>66</v>
      </c>
      <c r="K55" s="52"/>
      <c r="L55" s="52"/>
      <c r="M55" s="53"/>
    </row>
    <row r="56" spans="1:13" x14ac:dyDescent="0.35">
      <c r="A56" s="26">
        <v>44648</v>
      </c>
      <c r="B56" s="52"/>
      <c r="C56" s="52" t="str">
        <f>IFERROR(VLOOKUP(Ulaz_izlaz[[#This Row],[Šifra proizvoda vrata]],Vrata[],2,FALSE),"")</f>
        <v/>
      </c>
      <c r="D56" s="52" t="str">
        <f>IFERROR(VLOOKUP(Ulaz_izlaz[[#This Row],[Šifra proizvoda vrata]],Vrata[],3,FALSE),"")</f>
        <v/>
      </c>
      <c r="E56" s="52"/>
      <c r="F56" s="52"/>
      <c r="G56" s="52" t="str">
        <f>IFERROR(VLOOKUP(Ulaz_izlaz[[#This Row],[Šifra vodilice]],baza_vodilica[],2,FALSE),"")</f>
        <v/>
      </c>
      <c r="H56" s="52"/>
      <c r="I56" s="52" t="str">
        <f>IFERROR(VLOOKUP(Ulaz_izlaz[[#This Row],[Šifra motora]],baza_motora[],2,FALSE),"")</f>
        <v/>
      </c>
      <c r="J56" s="52" t="s">
        <v>66</v>
      </c>
      <c r="K56" s="52"/>
      <c r="L56" s="52"/>
      <c r="M56" s="53"/>
    </row>
    <row r="57" spans="1:13" x14ac:dyDescent="0.35">
      <c r="A57" s="26">
        <v>44649</v>
      </c>
      <c r="B57" s="52"/>
      <c r="C57" s="52" t="str">
        <f>IFERROR(VLOOKUP(Ulaz_izlaz[[#This Row],[Šifra proizvoda vrata]],Vrata[],2,FALSE),"")</f>
        <v/>
      </c>
      <c r="D57" s="52" t="str">
        <f>IFERROR(VLOOKUP(Ulaz_izlaz[[#This Row],[Šifra proizvoda vrata]],Vrata[],3,FALSE),"")</f>
        <v/>
      </c>
      <c r="E57" s="52"/>
      <c r="F57" s="52"/>
      <c r="G57" s="52" t="str">
        <f>IFERROR(VLOOKUP(Ulaz_izlaz[[#This Row],[Šifra vodilice]],baza_vodilica[],2,FALSE),"")</f>
        <v/>
      </c>
      <c r="H57" s="52"/>
      <c r="I57" s="52" t="str">
        <f>IFERROR(VLOOKUP(Ulaz_izlaz[[#This Row],[Šifra motora]],baza_motora[],2,FALSE),"")</f>
        <v/>
      </c>
      <c r="J57" s="52" t="s">
        <v>66</v>
      </c>
      <c r="K57" s="52"/>
      <c r="L57" s="52"/>
      <c r="M57" s="53"/>
    </row>
    <row r="58" spans="1:13" x14ac:dyDescent="0.35">
      <c r="A58" s="26">
        <v>44650</v>
      </c>
      <c r="B58" s="52"/>
      <c r="C58" s="52" t="str">
        <f>IFERROR(VLOOKUP(Ulaz_izlaz[[#This Row],[Šifra proizvoda vrata]],Vrata[],2,FALSE),"")</f>
        <v/>
      </c>
      <c r="D58" s="52" t="str">
        <f>IFERROR(VLOOKUP(Ulaz_izlaz[[#This Row],[Šifra proizvoda vrata]],Vrata[],3,FALSE),"")</f>
        <v/>
      </c>
      <c r="E58" s="52"/>
      <c r="F58" s="52"/>
      <c r="G58" s="52" t="str">
        <f>IFERROR(VLOOKUP(Ulaz_izlaz[[#This Row],[Šifra vodilice]],baza_vodilica[],2,FALSE),"")</f>
        <v/>
      </c>
      <c r="H58" s="52"/>
      <c r="I58" s="52" t="str">
        <f>IFERROR(VLOOKUP(Ulaz_izlaz[[#This Row],[Šifra motora]],baza_motora[],2,FALSE),"")</f>
        <v/>
      </c>
      <c r="J58" s="52" t="s">
        <v>66</v>
      </c>
      <c r="K58" s="52"/>
      <c r="L58" s="52"/>
      <c r="M58" s="53"/>
    </row>
  </sheetData>
  <phoneticPr fontId="5" type="noConversion"/>
  <dataValidations count="3">
    <dataValidation operator="greaterThanOrEqual" allowBlank="1" showInputMessage="1" showErrorMessage="1" sqref="A2:A58" xr:uid="{CC9927E2-2BFF-442F-8C1A-290AD48DA57F}"/>
    <dataValidation type="whole" operator="greaterThanOrEqual" allowBlank="1" showInputMessage="1" showErrorMessage="1" sqref="K2:M58" xr:uid="{24D6D10F-4060-4662-AD5A-11719700E0EB}">
      <formula1>0</formula1>
    </dataValidation>
    <dataValidation type="list" allowBlank="1" showInputMessage="1" showErrorMessage="1" sqref="J2:J58" xr:uid="{C879F729-722B-472B-A2A7-9906E309DD2B}">
      <formula1>"Ulaz, Montirano, Prodano"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1854-B321-426D-9C8D-CD7E1A5B2578}">
  <dimension ref="A1:Z102"/>
  <sheetViews>
    <sheetView tabSelected="1" zoomScale="70" zoomScaleNormal="70" workbookViewId="0">
      <selection activeCell="J8" sqref="J8"/>
    </sheetView>
  </sheetViews>
  <sheetFormatPr defaultRowHeight="14.5" x14ac:dyDescent="0.35"/>
  <cols>
    <col min="1" max="1" width="26.1796875" style="7" customWidth="1"/>
    <col min="2" max="2" width="22.81640625" style="7" customWidth="1"/>
    <col min="3" max="8" width="23.6328125" style="7" customWidth="1"/>
    <col min="9" max="9" width="26.90625" style="7" customWidth="1"/>
    <col min="10" max="10" width="28.08984375" style="7" bestFit="1" customWidth="1"/>
    <col min="11" max="11" width="12.54296875" style="7" customWidth="1"/>
    <col min="12" max="12" width="19.54296875" style="7" customWidth="1"/>
    <col min="13" max="13" width="21" style="7" customWidth="1"/>
    <col min="14" max="14" width="25.90625" style="7" customWidth="1"/>
    <col min="15" max="15" width="27.90625" style="7" customWidth="1"/>
    <col min="16" max="16" width="23" style="7" customWidth="1"/>
    <col min="17" max="17" width="28.08984375" style="7" customWidth="1"/>
    <col min="18" max="18" width="23" style="7" customWidth="1"/>
    <col min="19" max="19" width="10.08984375" style="7" customWidth="1"/>
    <col min="20" max="20" width="16.36328125" style="7" customWidth="1"/>
    <col min="21" max="21" width="23.1796875" style="7" customWidth="1"/>
    <col min="22" max="22" width="25.90625" customWidth="1"/>
    <col min="23" max="23" width="25.1796875" customWidth="1"/>
    <col min="24" max="25" width="24.36328125" customWidth="1"/>
    <col min="26" max="26" width="19.1796875" customWidth="1"/>
  </cols>
  <sheetData>
    <row r="1" spans="1:26" x14ac:dyDescent="0.35">
      <c r="A1" s="42" t="s">
        <v>32</v>
      </c>
      <c r="B1" s="22" t="s">
        <v>87</v>
      </c>
      <c r="C1" s="23" t="s">
        <v>24</v>
      </c>
      <c r="D1" s="22" t="s">
        <v>26</v>
      </c>
      <c r="E1" s="22" t="s">
        <v>76</v>
      </c>
      <c r="F1" s="24" t="s">
        <v>90</v>
      </c>
      <c r="G1" s="24" t="s">
        <v>77</v>
      </c>
      <c r="H1" s="24" t="s">
        <v>78</v>
      </c>
      <c r="I1" s="24" t="s">
        <v>93</v>
      </c>
      <c r="J1" s="24" t="s">
        <v>31</v>
      </c>
      <c r="K1" s="43" t="s">
        <v>63</v>
      </c>
      <c r="L1" s="22" t="s">
        <v>88</v>
      </c>
      <c r="M1" s="22" t="s">
        <v>79</v>
      </c>
      <c r="N1" s="22" t="s">
        <v>91</v>
      </c>
      <c r="O1" s="22" t="s">
        <v>80</v>
      </c>
      <c r="P1" s="22" t="s">
        <v>83</v>
      </c>
      <c r="Q1" s="22" t="s">
        <v>94</v>
      </c>
      <c r="R1" s="24" t="s">
        <v>85</v>
      </c>
      <c r="S1" s="43" t="s">
        <v>64</v>
      </c>
      <c r="T1" s="22" t="s">
        <v>67</v>
      </c>
      <c r="U1" s="22" t="s">
        <v>82</v>
      </c>
      <c r="V1" s="22" t="s">
        <v>92</v>
      </c>
      <c r="W1" s="22" t="s">
        <v>81</v>
      </c>
      <c r="X1" s="22" t="s">
        <v>84</v>
      </c>
      <c r="Y1" s="22" t="s">
        <v>95</v>
      </c>
      <c r="Z1" s="24" t="s">
        <v>86</v>
      </c>
    </row>
    <row r="2" spans="1:26" x14ac:dyDescent="0.35">
      <c r="A2" s="51">
        <v>44627</v>
      </c>
      <c r="B2" s="7">
        <f>IFERROR(IF(ISBLANK(Ulaz_izlaz[[#This Row],[Šifra proizvoda vrata]]),"",Ulaz_izlaz[[#This Row],[Šifra proizvoda vrata]]),"")</f>
        <v>26</v>
      </c>
      <c r="C2" s="7" t="str">
        <f>IFERROR(VLOOKUP(Stanje[[#This Row],[Šifra Vrata]],Vrata[],2,FALSE),"")</f>
        <v>2750 X 2250</v>
      </c>
      <c r="D2" s="7" t="str">
        <f>IFERROR(VLOOKUP(Stanje[[#This Row],[Šifra Vrata]],Vrata[],3,FALSE),"")</f>
        <v>RAL 7016 WOOD</v>
      </c>
      <c r="E2" s="7">
        <f>SUMIFS(Upis_stavki!M:M,Upis_stavki!B:B,Stanje[[#This Row],[Šifra Vrata]],Upis_stavki!J:J,"Ulaz")</f>
        <v>0</v>
      </c>
      <c r="F2" s="7">
        <f>SUMIFS(Upis_stavki!M:M,Upis_stavki!B:B,Stanje[[#This Row],[Šifra Vrata]],Upis_stavki!J:J,"Montirano")</f>
        <v>0</v>
      </c>
      <c r="G2" s="7">
        <f>SUMIFS(Upis_stavki!M:M,Upis_stavki!B:B,Stanje[[#This Row],[Šifra Vrata]],Upis_stavki!J:J,"Prodano")</f>
        <v>4</v>
      </c>
      <c r="H2" s="7">
        <f>IFERROR(VLOOKUP(Stanje[[#This Row],[Šifra Vrata]],Vrata[],4,FALSE),"")</f>
        <v>4</v>
      </c>
      <c r="I2" s="7">
        <f>IFERROR(Stanje[[#This Row],[Početan broj vrata]]-Stanje[[#This Row],[Broj montiranih Vrata]]+Stanje[[#This Row],[Broj ulaza Vrata]],"")</f>
        <v>4</v>
      </c>
      <c r="J2" s="7">
        <f>IFERROR(Stanje[[#This Row],[Početan broj vrata]]-Stanje[[#This Row],[Broj prodanih Vrata]]-Stanje[[#This Row],[Broj montiranih Vrata]]+Stanje[[#This Row],[Broj ulaza Vrata]],"")</f>
        <v>0</v>
      </c>
      <c r="K2" s="44"/>
      <c r="L2" s="7">
        <f>IFERROR(IF(ISBLANK(Ulaz_izlaz[[#This Row],[Šifra vodilice]]),"",Ulaz_izlaz[[#This Row],[Šifra vodilice]]),"")</f>
        <v>0</v>
      </c>
      <c r="M2" s="7">
        <f>SUMIFS(Upis_stavki!L:L,Upis_stavki!F:F,Stanje[[#This Row],[Šifra vodilica]],Upis_stavki!J:J,"Ulaz")</f>
        <v>0</v>
      </c>
      <c r="N2" s="7">
        <f>SUMIFS(Upis_stavki!L:L,Upis_stavki!F:F,Stanje[[#This Row],[Šifra vodilica]],Upis_stavki!J:J,"Montirano")</f>
        <v>0</v>
      </c>
      <c r="O2" s="7">
        <f>SUMIFS(Upis_stavki!L:L,Upis_stavki!F:F,Stanje[[#This Row],[Šifra vodilica]],Upis_stavki!J:J,"Prodano")</f>
        <v>0</v>
      </c>
      <c r="P2" s="7" t="str">
        <f>IFERROR(VLOOKUP(Stanje[[#This Row],[Šifra vodilica]],baza_vodilica[],3,FALSE),"")</f>
        <v/>
      </c>
      <c r="Q2" s="7" t="str">
        <f>IFERROR(Stanje[[#This Row],[Početan broj vodilica]]-Stanje[[#This Row],[Broj montiranih vodilica]]+Stanje[[#This Row],[Broj ulaza vodilica]],"")</f>
        <v/>
      </c>
      <c r="R2" s="7" t="str">
        <f>IFERROR(Stanje[[#This Row],[Početan broj vodilica]]-Stanje[[#This Row],[Broj prodanih vodilica]]-Stanje[[#This Row],[Broj montiranih vodilica]]+Stanje[[#This Row],[Broj ulaza vodilica]],"")</f>
        <v/>
      </c>
      <c r="S2" s="44"/>
      <c r="T2" s="7" t="str">
        <f>IFERROR(IF(ISBLANK(Ulaz_izlaz[[#This Row],[Šifra motora]]),"",Ulaz_izlaz[[#This Row],[Šifra motora]]),"")</f>
        <v>M1</v>
      </c>
      <c r="U2" s="7">
        <f>SUMIFS(Upis_stavki!K:K,Upis_stavki!H:H,Stanje[[#This Row],[Šifra motora]],Upis_stavki!J:J,"Ulaz")</f>
        <v>0</v>
      </c>
      <c r="V2" s="7">
        <f>SUMIFS(Upis_stavki!K:K,Upis_stavki!H:H,Stanje[[#This Row],[Šifra motora]],Upis_stavki!J:J,"Montirano")</f>
        <v>1</v>
      </c>
      <c r="W2" s="7">
        <f>SUMIFS(Upis_stavki!K:K,Upis_stavki!H:H,Stanje[[#This Row],[Šifra motora]],Upis_stavki!J:J,"Prodano")</f>
        <v>36</v>
      </c>
      <c r="X2" s="7">
        <f>IFERROR(VLOOKUP(Stanje[[#This Row],[Šifra motora]],baza_motora[],3,FALSE),"")</f>
        <v>63</v>
      </c>
      <c r="Y2" s="7">
        <f>IFERROR(Stanje[[#This Row],[Početan broj motora]]-Stanje[[#This Row],[Broj montiranih motora]]+Stanje[[#This Row],[Broj ulaza motora]],"")</f>
        <v>62</v>
      </c>
      <c r="Z2" s="7">
        <f>IFERROR(Stanje[[#This Row],[Početan broj motora]]-Stanje[[#This Row],[Broj prodanih motora]]-Stanje[[#This Row],[Broj montiranih motora]]+Stanje[[#This Row],[Broj ulaza motora]],"")</f>
        <v>26</v>
      </c>
    </row>
    <row r="3" spans="1:26" x14ac:dyDescent="0.35">
      <c r="A3" s="51">
        <v>44627</v>
      </c>
      <c r="B3" s="7">
        <f>IFERROR(IF(ISBLANK(Ulaz_izlaz[[#This Row],[Šifra proizvoda vrata]]),"",Ulaz_izlaz[[#This Row],[Šifra proizvoda vrata]]),"")</f>
        <v>4</v>
      </c>
      <c r="C3" s="7" t="str">
        <f>IFERROR(VLOOKUP(Stanje[[#This Row],[Šifra Vrata]],Vrata[],2,FALSE),"")</f>
        <v>2500 X 2125</v>
      </c>
      <c r="D3" s="7" t="str">
        <f>IFERROR(VLOOKUP(Stanje[[#This Row],[Šifra Vrata]],Vrata[],3,FALSE),"")</f>
        <v>RAL 9016 - WOOD</v>
      </c>
      <c r="E3" s="7">
        <f>SUMIFS(Upis_stavki!M:M,Upis_stavki!B:B,Stanje[[#This Row],[Šifra Vrata]],Upis_stavki!J:J,"Ulaz")</f>
        <v>0</v>
      </c>
      <c r="F3" s="7">
        <f>SUMIFS(Upis_stavki!M:M,Upis_stavki!B:B,Stanje[[#This Row],[Šifra Vrata]],Upis_stavki!J:J,"Montirano")</f>
        <v>0</v>
      </c>
      <c r="G3" s="7">
        <f>SUMIFS(Upis_stavki!M:M,Upis_stavki!B:B,Stanje[[#This Row],[Šifra Vrata]],Upis_stavki!J:J,"Prodano")</f>
        <v>13</v>
      </c>
      <c r="H3" s="7">
        <f>IFERROR(VLOOKUP(Stanje[[#This Row],[Šifra Vrata]],Vrata[],4,FALSE),"")</f>
        <v>13</v>
      </c>
      <c r="I3" s="7">
        <f>IFERROR(Stanje[[#This Row],[Početan broj vrata]]-Stanje[[#This Row],[Broj montiranih Vrata]]+Stanje[[#This Row],[Broj ulaza Vrata]],"")</f>
        <v>13</v>
      </c>
      <c r="J3" s="7">
        <f>IFERROR(Stanje[[#This Row],[Početan broj vrata]]-Stanje[[#This Row],[Broj prodanih Vrata]]-Stanje[[#This Row],[Broj montiranih Vrata]]+Stanje[[#This Row],[Broj ulaza Vrata]],"")</f>
        <v>0</v>
      </c>
      <c r="K3" s="44"/>
      <c r="L3" s="7" t="str">
        <f>IFERROR(IF(ISBLANK(Ulaz_izlaz[[#This Row],[Šifra vodilice]]),"",Ulaz_izlaz[[#This Row],[Šifra vodilice]]),"")</f>
        <v/>
      </c>
      <c r="M3" s="7">
        <f>SUMIFS(Upis_stavki!L:L,Upis_stavki!F:F,Stanje[[#This Row],[Šifra vodilica]],Upis_stavki!J:J,"Ulaz")</f>
        <v>0</v>
      </c>
      <c r="N3" s="7">
        <f>SUMIFS(Upis_stavki!L:L,Upis_stavki!F:F,Stanje[[#This Row],[Šifra vodilica]],Upis_stavki!J:J,"Montirano")</f>
        <v>0</v>
      </c>
      <c r="O3" s="7">
        <f>SUMIFS(Upis_stavki!L:L,Upis_stavki!F:F,Stanje[[#This Row],[Šifra vodilica]],Upis_stavki!J:J,"Prodano")</f>
        <v>0</v>
      </c>
      <c r="P3" s="7" t="str">
        <f>IFERROR(VLOOKUP(Stanje[[#This Row],[Šifra vodilica]],baza_vodilica[],3,FALSE),"")</f>
        <v/>
      </c>
      <c r="Q3" s="7" t="str">
        <f>IFERROR(Stanje[[#This Row],[Početan broj vodilica]]-Stanje[[#This Row],[Broj montiranih vodilica]]+Stanje[[#This Row],[Broj ulaza vodilica]],"")</f>
        <v/>
      </c>
      <c r="R3" s="7" t="str">
        <f>IFERROR(Stanje[[#This Row],[Početan broj vodilica]]-Stanje[[#This Row],[Broj prodanih vodilica]]-Stanje[[#This Row],[Broj montiranih vodilica]]+Stanje[[#This Row],[Broj ulaza vodilica]],"")</f>
        <v/>
      </c>
      <c r="S3" s="44"/>
      <c r="T3" s="7" t="str">
        <f>IFERROR(IF(ISBLANK(Ulaz_izlaz[[#This Row],[Šifra motora]]),"",Ulaz_izlaz[[#This Row],[Šifra motora]]),"")</f>
        <v>M1</v>
      </c>
      <c r="U3" s="7">
        <f>SUMIFS(Upis_stavki!K:K,Upis_stavki!H:H,Stanje[[#This Row],[Šifra motora]],Upis_stavki!J:J,"Ulaz")</f>
        <v>0</v>
      </c>
      <c r="V3" s="7">
        <f>SUMIFS(Upis_stavki!K:K,Upis_stavki!H:H,Stanje[[#This Row],[Šifra motora]],Upis_stavki!J:J,"Montirano")</f>
        <v>1</v>
      </c>
      <c r="W3" s="7">
        <f>SUMIFS(Upis_stavki!K:K,Upis_stavki!H:H,Stanje[[#This Row],[Šifra motora]],Upis_stavki!J:J,"Prodano")</f>
        <v>36</v>
      </c>
      <c r="X3" s="7">
        <f>IFERROR(VLOOKUP(Stanje[[#This Row],[Šifra motora]],baza_motora[],3,FALSE),"")</f>
        <v>63</v>
      </c>
      <c r="Y3" s="7">
        <f>IFERROR(Stanje[[#This Row],[Početan broj motora]]-Stanje[[#This Row],[Broj montiranih motora]]+Stanje[[#This Row],[Broj ulaza motora]],"")</f>
        <v>62</v>
      </c>
      <c r="Z3" s="7">
        <f>IFERROR(Stanje[[#This Row],[Početan broj motora]]-Stanje[[#This Row],[Broj prodanih motora]]-Stanje[[#This Row],[Broj montiranih motora]]+Stanje[[#This Row],[Broj ulaza motora]],"")</f>
        <v>26</v>
      </c>
    </row>
    <row r="4" spans="1:26" x14ac:dyDescent="0.35">
      <c r="A4" s="51">
        <v>44627</v>
      </c>
      <c r="B4" s="7">
        <f>IFERROR(IF(ISBLANK(Ulaz_izlaz[[#This Row],[Šifra proizvoda vrata]]),"",Ulaz_izlaz[[#This Row],[Šifra proizvoda vrata]]),"")</f>
        <v>106</v>
      </c>
      <c r="C4" s="7" t="str">
        <f>IFERROR(VLOOKUP(Stanje[[#This Row],[Šifra Vrata]],Vrata[],2,FALSE),"")</f>
        <v>2750 X 2125</v>
      </c>
      <c r="D4" s="7" t="str">
        <f>IFERROR(VLOOKUP(Stanje[[#This Row],[Šifra Vrata]],Vrata[],3,FALSE),"")</f>
        <v>DIAMOND BLACK DURA</v>
      </c>
      <c r="E4" s="7">
        <f>SUMIFS(Upis_stavki!M:M,Upis_stavki!B:B,Stanje[[#This Row],[Šifra Vrata]],Upis_stavki!J:J,"Ulaz")</f>
        <v>0</v>
      </c>
      <c r="F4" s="7">
        <f>SUMIFS(Upis_stavki!M:M,Upis_stavki!B:B,Stanje[[#This Row],[Šifra Vrata]],Upis_stavki!J:J,"Montirano")</f>
        <v>0</v>
      </c>
      <c r="G4" s="7">
        <f>SUMIFS(Upis_stavki!M:M,Upis_stavki!B:B,Stanje[[#This Row],[Šifra Vrata]],Upis_stavki!J:J,"Prodano")</f>
        <v>1</v>
      </c>
      <c r="H4" s="7">
        <f>IFERROR(VLOOKUP(Stanje[[#This Row],[Šifra Vrata]],Vrata[],4,FALSE),"")</f>
        <v>1</v>
      </c>
      <c r="I4" s="7">
        <f>IFERROR(Stanje[[#This Row],[Početan broj vrata]]-Stanje[[#This Row],[Broj montiranih Vrata]]+Stanje[[#This Row],[Broj ulaza Vrata]],"")</f>
        <v>1</v>
      </c>
      <c r="J4" s="7">
        <f>IFERROR(Stanje[[#This Row],[Početan broj vrata]]-Stanje[[#This Row],[Broj prodanih Vrata]]-Stanje[[#This Row],[Broj montiranih Vrata]]+Stanje[[#This Row],[Broj ulaza Vrata]],"")</f>
        <v>0</v>
      </c>
      <c r="K4" s="44"/>
      <c r="L4" s="7" t="str">
        <f>IFERROR(IF(ISBLANK(Ulaz_izlaz[[#This Row],[Šifra vodilice]]),"",Ulaz_izlaz[[#This Row],[Šifra vodilice]]),"")</f>
        <v>V1</v>
      </c>
      <c r="M4" s="7">
        <f>SUMIFS(Upis_stavki!L:L,Upis_stavki!F:F,Stanje[[#This Row],[Šifra vodilica]],Upis_stavki!J:J,"Ulaz")</f>
        <v>0</v>
      </c>
      <c r="N4" s="7">
        <f>SUMIFS(Upis_stavki!L:L,Upis_stavki!F:F,Stanje[[#This Row],[Šifra vodilica]],Upis_stavki!J:J,"Montirano")</f>
        <v>1</v>
      </c>
      <c r="O4" s="7">
        <f>SUMIFS(Upis_stavki!L:L,Upis_stavki!F:F,Stanje[[#This Row],[Šifra vodilica]],Upis_stavki!J:J,"Prodano")</f>
        <v>14</v>
      </c>
      <c r="P4" s="7">
        <f>IFERROR(VLOOKUP(Stanje[[#This Row],[Šifra vodilica]],baza_vodilica[],3,FALSE),"")</f>
        <v>31</v>
      </c>
      <c r="Q4" s="7">
        <f>IFERROR(Stanje[[#This Row],[Početan broj vodilica]]-Stanje[[#This Row],[Broj montiranih vodilica]]+Stanje[[#This Row],[Broj ulaza vodilica]],"")</f>
        <v>30</v>
      </c>
      <c r="R4" s="7">
        <f>IFERROR(Stanje[[#This Row],[Početan broj vodilica]]-Stanje[[#This Row],[Broj prodanih vodilica]]-Stanje[[#This Row],[Broj montiranih vodilica]]+Stanje[[#This Row],[Broj ulaza vodilica]],"")</f>
        <v>16</v>
      </c>
      <c r="S4" s="44"/>
      <c r="T4" s="7" t="str">
        <f>IFERROR(IF(ISBLANK(Ulaz_izlaz[[#This Row],[Šifra motora]]),"",Ulaz_izlaz[[#This Row],[Šifra motora]]),"")</f>
        <v>M2</v>
      </c>
      <c r="U4" s="7">
        <f>SUMIFS(Upis_stavki!K:K,Upis_stavki!H:H,Stanje[[#This Row],[Šifra motora]],Upis_stavki!J:J,"Ulaz")</f>
        <v>0</v>
      </c>
      <c r="V4" s="7">
        <f>SUMIFS(Upis_stavki!K:K,Upis_stavki!H:H,Stanje[[#This Row],[Šifra motora]],Upis_stavki!J:J,"Montirano")</f>
        <v>0</v>
      </c>
      <c r="W4" s="7">
        <f>SUMIFS(Upis_stavki!K:K,Upis_stavki!H:H,Stanje[[#This Row],[Šifra motora]],Upis_stavki!J:J,"Prodano")</f>
        <v>13</v>
      </c>
      <c r="X4" s="7">
        <f>IFERROR(VLOOKUP(Stanje[[#This Row],[Šifra motora]],baza_motora[],3,FALSE),"")</f>
        <v>19</v>
      </c>
      <c r="Y4" s="7">
        <f>IFERROR(Stanje[[#This Row],[Početan broj motora]]-Stanje[[#This Row],[Broj montiranih motora]]+Stanje[[#This Row],[Broj ulaza motora]],"")</f>
        <v>19</v>
      </c>
      <c r="Z4" s="7">
        <f>IFERROR(Stanje[[#This Row],[Početan broj motora]]-Stanje[[#This Row],[Broj prodanih motora]]-Stanje[[#This Row],[Broj montiranih motora]]+Stanje[[#This Row],[Broj ulaza motora]],"")</f>
        <v>6</v>
      </c>
    </row>
    <row r="5" spans="1:26" x14ac:dyDescent="0.35">
      <c r="A5" s="51">
        <v>44627</v>
      </c>
      <c r="B5" s="7">
        <f>IFERROR(IF(ISBLANK(Ulaz_izlaz[[#This Row],[Šifra proizvoda vrata]]),"",Ulaz_izlaz[[#This Row],[Šifra proizvoda vrata]]),"")</f>
        <v>39</v>
      </c>
      <c r="C5" s="7" t="str">
        <f>IFERROR(VLOOKUP(Stanje[[#This Row],[Šifra Vrata]],Vrata[],2,FALSE),"")</f>
        <v>2750 X 2125</v>
      </c>
      <c r="D5" s="7" t="str">
        <f>IFERROR(VLOOKUP(Stanje[[#This Row],[Šifra Vrata]],Vrata[],3,FALSE),"")</f>
        <v>RAL 7016 PLAN</v>
      </c>
      <c r="E5" s="7">
        <f>SUMIFS(Upis_stavki!M:M,Upis_stavki!B:B,Stanje[[#This Row],[Šifra Vrata]],Upis_stavki!J:J,"Ulaz")</f>
        <v>0</v>
      </c>
      <c r="F5" s="7">
        <f>SUMIFS(Upis_stavki!M:M,Upis_stavki!B:B,Stanje[[#This Row],[Šifra Vrata]],Upis_stavki!J:J,"Montirano")</f>
        <v>0</v>
      </c>
      <c r="G5" s="7">
        <f>SUMIFS(Upis_stavki!M:M,Upis_stavki!B:B,Stanje[[#This Row],[Šifra Vrata]],Upis_stavki!J:J,"Prodano")</f>
        <v>1</v>
      </c>
      <c r="H5" s="7">
        <f>IFERROR(VLOOKUP(Stanje[[#This Row],[Šifra Vrata]],Vrata[],4,FALSE),"")</f>
        <v>0</v>
      </c>
      <c r="I5" s="7">
        <f>IFERROR(Stanje[[#This Row],[Početan broj vrata]]-Stanje[[#This Row],[Broj montiranih Vrata]]+Stanje[[#This Row],[Broj ulaza Vrata]],"")</f>
        <v>0</v>
      </c>
      <c r="J5" s="7">
        <f>IFERROR(Stanje[[#This Row],[Početan broj vrata]]-Stanje[[#This Row],[Broj prodanih Vrata]]-Stanje[[#This Row],[Broj montiranih Vrata]]+Stanje[[#This Row],[Broj ulaza Vrata]],"")</f>
        <v>-1</v>
      </c>
      <c r="K5" s="44"/>
      <c r="L5" s="7" t="str">
        <f>IFERROR(IF(ISBLANK(Ulaz_izlaz[[#This Row],[Šifra vodilice]]),"",Ulaz_izlaz[[#This Row],[Šifra vodilice]]),"")</f>
        <v>V1</v>
      </c>
      <c r="M5" s="7">
        <f>SUMIFS(Upis_stavki!L:L,Upis_stavki!F:F,Stanje[[#This Row],[Šifra vodilica]],Upis_stavki!J:J,"Ulaz")</f>
        <v>0</v>
      </c>
      <c r="N5" s="7">
        <f>SUMIFS(Upis_stavki!L:L,Upis_stavki!F:F,Stanje[[#This Row],[Šifra vodilica]],Upis_stavki!J:J,"Montirano")</f>
        <v>1</v>
      </c>
      <c r="O5" s="7">
        <f>SUMIFS(Upis_stavki!L:L,Upis_stavki!F:F,Stanje[[#This Row],[Šifra vodilica]],Upis_stavki!J:J,"Prodano")</f>
        <v>14</v>
      </c>
      <c r="P5" s="7">
        <f>IFERROR(VLOOKUP(Stanje[[#This Row],[Šifra vodilica]],baza_vodilica[],3,FALSE),"")</f>
        <v>31</v>
      </c>
      <c r="Q5" s="7">
        <f>IFERROR(Stanje[[#This Row],[Početan broj vodilica]]-Stanje[[#This Row],[Broj montiranih vodilica]]+Stanje[[#This Row],[Broj ulaza vodilica]],"")</f>
        <v>30</v>
      </c>
      <c r="R5" s="7">
        <f>IFERROR(Stanje[[#This Row],[Početan broj vodilica]]-Stanje[[#This Row],[Broj prodanih vodilica]]-Stanje[[#This Row],[Broj montiranih vodilica]]+Stanje[[#This Row],[Broj ulaza vodilica]],"")</f>
        <v>16</v>
      </c>
      <c r="S5" s="44"/>
      <c r="T5" s="7" t="str">
        <f>IFERROR(IF(ISBLANK(Ulaz_izlaz[[#This Row],[Šifra motora]]),"",Ulaz_izlaz[[#This Row],[Šifra motora]]),"")</f>
        <v>M3</v>
      </c>
      <c r="U5" s="7">
        <f>SUMIFS(Upis_stavki!K:K,Upis_stavki!H:H,Stanje[[#This Row],[Šifra motora]],Upis_stavki!J:J,"Ulaz")</f>
        <v>0</v>
      </c>
      <c r="V5" s="7">
        <f>SUMIFS(Upis_stavki!K:K,Upis_stavki!H:H,Stanje[[#This Row],[Šifra motora]],Upis_stavki!J:J,"Montirano")</f>
        <v>0</v>
      </c>
      <c r="W5" s="7">
        <f>SUMIFS(Upis_stavki!K:K,Upis_stavki!H:H,Stanje[[#This Row],[Šifra motora]],Upis_stavki!J:J,"Prodano")</f>
        <v>3</v>
      </c>
      <c r="X5" s="7">
        <f>IFERROR(VLOOKUP(Stanje[[#This Row],[Šifra motora]],baza_motora[],3,FALSE),"")</f>
        <v>20</v>
      </c>
      <c r="Y5" s="7">
        <f>IFERROR(Stanje[[#This Row],[Početan broj motora]]-Stanje[[#This Row],[Broj montiranih motora]]+Stanje[[#This Row],[Broj ulaza motora]],"")</f>
        <v>20</v>
      </c>
      <c r="Z5" s="7">
        <f>IFERROR(Stanje[[#This Row],[Početan broj motora]]-Stanje[[#This Row],[Broj prodanih motora]]-Stanje[[#This Row],[Broj montiranih motora]]+Stanje[[#This Row],[Broj ulaza motora]],"")</f>
        <v>17</v>
      </c>
    </row>
    <row r="6" spans="1:26" x14ac:dyDescent="0.35">
      <c r="A6" s="51">
        <v>44627</v>
      </c>
      <c r="B6" s="7">
        <f>IFERROR(IF(ISBLANK(Ulaz_izlaz[[#This Row],[Šifra proizvoda vrata]]),"",Ulaz_izlaz[[#This Row],[Šifra proizvoda vrata]]),"")</f>
        <v>103</v>
      </c>
      <c r="C6" s="7" t="str">
        <f>IFERROR(VLOOKUP(Stanje[[#This Row],[Šifra Vrata]],Vrata[],2,FALSE),"")</f>
        <v>5000 X 2250</v>
      </c>
      <c r="D6" s="7" t="str">
        <f>IFERROR(VLOOKUP(Stanje[[#This Row],[Šifra Vrata]],Vrata[],3,FALSE),"")</f>
        <v>PLANAR CH906</v>
      </c>
      <c r="E6" s="7">
        <f>SUMIFS(Upis_stavki!M:M,Upis_stavki!B:B,Stanje[[#This Row],[Šifra Vrata]],Upis_stavki!J:J,"Ulaz")</f>
        <v>0</v>
      </c>
      <c r="F6" s="7">
        <f>SUMIFS(Upis_stavki!M:M,Upis_stavki!B:B,Stanje[[#This Row],[Šifra Vrata]],Upis_stavki!J:J,"Montirano")</f>
        <v>0</v>
      </c>
      <c r="G6" s="7">
        <f>SUMIFS(Upis_stavki!M:M,Upis_stavki!B:B,Stanje[[#This Row],[Šifra Vrata]],Upis_stavki!J:J,"Prodano")</f>
        <v>1</v>
      </c>
      <c r="H6" s="7">
        <f>IFERROR(VLOOKUP(Stanje[[#This Row],[Šifra Vrata]],Vrata[],4,FALSE),"")</f>
        <v>1</v>
      </c>
      <c r="I6" s="7">
        <f>IFERROR(Stanje[[#This Row],[Početan broj vrata]]-Stanje[[#This Row],[Broj montiranih Vrata]]+Stanje[[#This Row],[Broj ulaza Vrata]],"")</f>
        <v>1</v>
      </c>
      <c r="J6" s="7">
        <f>IFERROR(Stanje[[#This Row],[Početan broj vrata]]-Stanje[[#This Row],[Broj prodanih Vrata]]-Stanje[[#This Row],[Broj montiranih Vrata]]+Stanje[[#This Row],[Broj ulaza Vrata]],"")</f>
        <v>0</v>
      </c>
      <c r="K6" s="44"/>
      <c r="L6" s="7" t="str">
        <f>IFERROR(IF(ISBLANK(Ulaz_izlaz[[#This Row],[Šifra vodilice]]),"",Ulaz_izlaz[[#This Row],[Šifra vodilice]]),"")</f>
        <v>V1</v>
      </c>
      <c r="M6" s="7">
        <f>SUMIFS(Upis_stavki!L:L,Upis_stavki!F:F,Stanje[[#This Row],[Šifra vodilica]],Upis_stavki!J:J,"Ulaz")</f>
        <v>0</v>
      </c>
      <c r="N6" s="7">
        <f>SUMIFS(Upis_stavki!L:L,Upis_stavki!F:F,Stanje[[#This Row],[Šifra vodilica]],Upis_stavki!J:J,"Montirano")</f>
        <v>1</v>
      </c>
      <c r="O6" s="7">
        <f>SUMIFS(Upis_stavki!L:L,Upis_stavki!F:F,Stanje[[#This Row],[Šifra vodilica]],Upis_stavki!J:J,"Prodano")</f>
        <v>14</v>
      </c>
      <c r="P6" s="7">
        <f>IFERROR(VLOOKUP(Stanje[[#This Row],[Šifra vodilica]],baza_vodilica[],3,FALSE),"")</f>
        <v>31</v>
      </c>
      <c r="Q6" s="7">
        <f>IFERROR(Stanje[[#This Row],[Početan broj vodilica]]-Stanje[[#This Row],[Broj montiranih vodilica]]+Stanje[[#This Row],[Broj ulaza vodilica]],"")</f>
        <v>30</v>
      </c>
      <c r="R6" s="7">
        <f>IFERROR(Stanje[[#This Row],[Početan broj vodilica]]-Stanje[[#This Row],[Broj prodanih vodilica]]-Stanje[[#This Row],[Broj montiranih vodilica]]+Stanje[[#This Row],[Broj ulaza vodilica]],"")</f>
        <v>16</v>
      </c>
      <c r="S6" s="44"/>
      <c r="T6" s="7" t="str">
        <f>IFERROR(IF(ISBLANK(Ulaz_izlaz[[#This Row],[Šifra motora]]),"",Ulaz_izlaz[[#This Row],[Šifra motora]]),"")</f>
        <v>M2</v>
      </c>
      <c r="U6" s="7">
        <f>SUMIFS(Upis_stavki!K:K,Upis_stavki!H:H,Stanje[[#This Row],[Šifra motora]],Upis_stavki!J:J,"Ulaz")</f>
        <v>0</v>
      </c>
      <c r="V6" s="7">
        <f>SUMIFS(Upis_stavki!K:K,Upis_stavki!H:H,Stanje[[#This Row],[Šifra motora]],Upis_stavki!J:J,"Montirano")</f>
        <v>0</v>
      </c>
      <c r="W6" s="7">
        <f>SUMIFS(Upis_stavki!K:K,Upis_stavki!H:H,Stanje[[#This Row],[Šifra motora]],Upis_stavki!J:J,"Prodano")</f>
        <v>13</v>
      </c>
      <c r="X6" s="7">
        <f>IFERROR(VLOOKUP(Stanje[[#This Row],[Šifra motora]],baza_motora[],3,FALSE),"")</f>
        <v>19</v>
      </c>
      <c r="Y6" s="7">
        <f>IFERROR(Stanje[[#This Row],[Početan broj motora]]-Stanje[[#This Row],[Broj montiranih motora]]+Stanje[[#This Row],[Broj ulaza motora]],"")</f>
        <v>19</v>
      </c>
      <c r="Z6" s="7">
        <f>IFERROR(Stanje[[#This Row],[Početan broj motora]]-Stanje[[#This Row],[Broj prodanih motora]]-Stanje[[#This Row],[Broj montiranih motora]]+Stanje[[#This Row],[Broj ulaza motora]],"")</f>
        <v>6</v>
      </c>
    </row>
    <row r="7" spans="1:26" x14ac:dyDescent="0.35">
      <c r="A7" s="51">
        <v>44627</v>
      </c>
      <c r="B7" s="25">
        <f>IFERROR(IF(ISBLANK(Ulaz_izlaz[[#This Row],[Šifra proizvoda vrata]]),"",Ulaz_izlaz[[#This Row],[Šifra proizvoda vrata]]),"")</f>
        <v>44</v>
      </c>
      <c r="C7" s="25" t="str">
        <f>IFERROR(VLOOKUP(Stanje[[#This Row],[Šifra Vrata]],Vrata[],2,FALSE),"")</f>
        <v>3000 X 2250</v>
      </c>
      <c r="D7" s="25" t="str">
        <f>IFERROR(VLOOKUP(Stanje[[#This Row],[Šifra Vrata]],Vrata[],3,FALSE),"")</f>
        <v>RAL 7016 PLAN</v>
      </c>
      <c r="E7" s="25">
        <f>SUMIFS(Upis_stavki!M:M,Upis_stavki!B:B,Stanje[[#This Row],[Šifra Vrata]],Upis_stavki!J:J,"Ulaz")</f>
        <v>0</v>
      </c>
      <c r="F7" s="7">
        <f>SUMIFS(Upis_stavki!M:M,Upis_stavki!B:B,Stanje[[#This Row],[Šifra Vrata]],Upis_stavki!J:J,"Montirano")</f>
        <v>1</v>
      </c>
      <c r="G7" s="7">
        <f>SUMIFS(Upis_stavki!M:M,Upis_stavki!B:B,Stanje[[#This Row],[Šifra Vrata]],Upis_stavki!J:J,"Prodano")</f>
        <v>1</v>
      </c>
      <c r="H7" s="25">
        <f>IFERROR(VLOOKUP(Stanje[[#This Row],[Šifra Vrata]],Vrata[],4,FALSE),"")</f>
        <v>3</v>
      </c>
      <c r="I7" s="25">
        <f>IFERROR(Stanje[[#This Row],[Početan broj vrata]]-Stanje[[#This Row],[Broj montiranih Vrata]]+Stanje[[#This Row],[Broj ulaza Vrata]],"")</f>
        <v>2</v>
      </c>
      <c r="J7" s="25">
        <f>IFERROR(Stanje[[#This Row],[Početan broj vrata]]-Stanje[[#This Row],[Broj prodanih Vrata]]-Stanje[[#This Row],[Broj montiranih Vrata]]+Stanje[[#This Row],[Broj ulaza Vrata]],"")</f>
        <v>1</v>
      </c>
      <c r="K7" s="45"/>
      <c r="L7" s="7" t="str">
        <f>IFERROR(IF(ISBLANK(Ulaz_izlaz[[#This Row],[Šifra vodilice]]),"",Ulaz_izlaz[[#This Row],[Šifra vodilice]]),"")</f>
        <v>V1</v>
      </c>
      <c r="M7" s="7">
        <f>SUMIFS(Upis_stavki!L:L,Upis_stavki!F:F,Stanje[[#This Row],[Šifra vodilica]],Upis_stavki!J:J,"Ulaz")</f>
        <v>0</v>
      </c>
      <c r="N7" s="7">
        <f>SUMIFS(Upis_stavki!L:L,Upis_stavki!F:F,Stanje[[#This Row],[Šifra vodilica]],Upis_stavki!J:J,"Montirano")</f>
        <v>1</v>
      </c>
      <c r="O7" s="25">
        <f>SUMIFS(Upis_stavki!L:L,Upis_stavki!F:F,Stanje[[#This Row],[Šifra vodilica]],Upis_stavki!J:J,"Prodano")</f>
        <v>14</v>
      </c>
      <c r="P7" s="25">
        <f>IFERROR(VLOOKUP(Stanje[[#This Row],[Šifra vodilica]],baza_vodilica[],3,FALSE),"")</f>
        <v>31</v>
      </c>
      <c r="Q7" s="25">
        <f>IFERROR(Stanje[[#This Row],[Početan broj vodilica]]-Stanje[[#This Row],[Broj montiranih vodilica]]+Stanje[[#This Row],[Broj ulaza vodilica]],"")</f>
        <v>30</v>
      </c>
      <c r="R7" s="25">
        <f>IFERROR(Stanje[[#This Row],[Početan broj vodilica]]-Stanje[[#This Row],[Broj prodanih vodilica]]-Stanje[[#This Row],[Broj montiranih vodilica]]+Stanje[[#This Row],[Broj ulaza vodilica]],"")</f>
        <v>16</v>
      </c>
      <c r="S7" s="45"/>
      <c r="T7" s="25" t="str">
        <f>IFERROR(IF(ISBLANK(Ulaz_izlaz[[#This Row],[Šifra motora]]),"",Ulaz_izlaz[[#This Row],[Šifra motora]]),"")</f>
        <v>M5</v>
      </c>
      <c r="U7" s="7">
        <f>SUMIFS(Upis_stavki!K:K,Upis_stavki!H:H,Stanje[[#This Row],[Šifra motora]],Upis_stavki!J:J,"Ulaz")</f>
        <v>0</v>
      </c>
      <c r="V7" s="25">
        <f>SUMIFS(Upis_stavki!K:K,Upis_stavki!H:H,Stanje[[#This Row],[Šifra motora]],Upis_stavki!J:J,"Montirano")</f>
        <v>1</v>
      </c>
      <c r="W7" s="25">
        <f>SUMIFS(Upis_stavki!K:K,Upis_stavki!H:H,Stanje[[#This Row],[Šifra motora]],Upis_stavki!J:J,"Prodano")</f>
        <v>4</v>
      </c>
      <c r="X7" s="7">
        <f>IFERROR(VLOOKUP(Stanje[[#This Row],[Šifra motora]],baza_motora[],3,FALSE),"")</f>
        <v>22</v>
      </c>
      <c r="Y7" s="7">
        <f>IFERROR(Stanje[[#This Row],[Početan broj motora]]-Stanje[[#This Row],[Broj montiranih motora]]+Stanje[[#This Row],[Broj ulaza motora]],"")</f>
        <v>21</v>
      </c>
      <c r="Z7" s="25">
        <f>IFERROR(Stanje[[#This Row],[Početan broj motora]]-Stanje[[#This Row],[Broj prodanih motora]]-Stanje[[#This Row],[Broj montiranih motora]]+Stanje[[#This Row],[Broj ulaza motora]],"")</f>
        <v>17</v>
      </c>
    </row>
    <row r="8" spans="1:26" x14ac:dyDescent="0.35">
      <c r="A8" s="51">
        <v>44627</v>
      </c>
      <c r="B8" s="25">
        <f>IFERROR(IF(ISBLANK(Ulaz_izlaz[[#This Row],[Šifra proizvoda vrata]]),"",Ulaz_izlaz[[#This Row],[Šifra proizvoda vrata]]),"")</f>
        <v>53</v>
      </c>
      <c r="C8" s="25" t="str">
        <f>IFERROR(VLOOKUP(Stanje[[#This Row],[Šifra Vrata]],Vrata[],2,FALSE),"")</f>
        <v>2500 X 2000</v>
      </c>
      <c r="D8" s="25" t="str">
        <f>IFERROR(VLOOKUP(Stanje[[#This Row],[Šifra Vrata]],Vrata[],3,FALSE),"")</f>
        <v>DARK OAK</v>
      </c>
      <c r="E8" s="25">
        <f>SUMIFS(Upis_stavki!M:M,Upis_stavki!B:B,Stanje[[#This Row],[Šifra Vrata]],Upis_stavki!J:J,"Ulaz")</f>
        <v>0</v>
      </c>
      <c r="F8" s="7">
        <f>SUMIFS(Upis_stavki!M:M,Upis_stavki!B:B,Stanje[[#This Row],[Šifra Vrata]],Upis_stavki!J:J,"Montirano")</f>
        <v>0</v>
      </c>
      <c r="G8" s="7">
        <f>SUMIFS(Upis_stavki!M:M,Upis_stavki!B:B,Stanje[[#This Row],[Šifra Vrata]],Upis_stavki!J:J,"Prodano")</f>
        <v>3</v>
      </c>
      <c r="H8" s="25">
        <f>IFERROR(VLOOKUP(Stanje[[#This Row],[Šifra Vrata]],Vrata[],4,FALSE),"")</f>
        <v>0</v>
      </c>
      <c r="I8" s="25">
        <f>IFERROR(Stanje[[#This Row],[Početan broj vrata]]-Stanje[[#This Row],[Broj montiranih Vrata]]+Stanje[[#This Row],[Broj ulaza Vrata]],"")</f>
        <v>0</v>
      </c>
      <c r="J8" s="25">
        <f>IFERROR(Stanje[[#This Row],[Početan broj vrata]]-Stanje[[#This Row],[Broj prodanih Vrata]]-Stanje[[#This Row],[Broj montiranih Vrata]]+Stanje[[#This Row],[Broj ulaza Vrata]],"")</f>
        <v>-3</v>
      </c>
      <c r="K8" s="45"/>
      <c r="L8" s="7" t="str">
        <f>IFERROR(IF(ISBLANK(Ulaz_izlaz[[#This Row],[Šifra vodilice]]),"",Ulaz_izlaz[[#This Row],[Šifra vodilice]]),"")</f>
        <v/>
      </c>
      <c r="M8" s="7">
        <f>SUMIFS(Upis_stavki!L:L,Upis_stavki!F:F,Stanje[[#This Row],[Šifra vodilica]],Upis_stavki!J:J,"Ulaz")</f>
        <v>0</v>
      </c>
      <c r="N8" s="7">
        <f>SUMIFS(Upis_stavki!L:L,Upis_stavki!F:F,Stanje[[#This Row],[Šifra vodilica]],Upis_stavki!J:J,"Montirano")</f>
        <v>0</v>
      </c>
      <c r="O8" s="25">
        <f>SUMIFS(Upis_stavki!L:L,Upis_stavki!F:F,Stanje[[#This Row],[Šifra vodilica]],Upis_stavki!J:J,"Prodano")</f>
        <v>0</v>
      </c>
      <c r="P8" s="25" t="str">
        <f>IFERROR(VLOOKUP(Stanje[[#This Row],[Šifra vodilica]],baza_vodilica[],3,FALSE),"")</f>
        <v/>
      </c>
      <c r="Q8" s="25" t="str">
        <f>IFERROR(Stanje[[#This Row],[Početan broj vodilica]]-Stanje[[#This Row],[Broj montiranih vodilica]]+Stanje[[#This Row],[Broj ulaza vodilica]],"")</f>
        <v/>
      </c>
      <c r="R8" s="25" t="str">
        <f>IFERROR(Stanje[[#This Row],[Početan broj vodilica]]-Stanje[[#This Row],[Broj prodanih vodilica]]-Stanje[[#This Row],[Broj montiranih vodilica]]+Stanje[[#This Row],[Broj ulaza vodilica]],"")</f>
        <v/>
      </c>
      <c r="S8" s="45"/>
      <c r="T8" s="25" t="str">
        <f>IFERROR(IF(ISBLANK(Ulaz_izlaz[[#This Row],[Šifra motora]]),"",Ulaz_izlaz[[#This Row],[Šifra motora]]),"")</f>
        <v>M1</v>
      </c>
      <c r="U8" s="7">
        <f>SUMIFS(Upis_stavki!K:K,Upis_stavki!H:H,Stanje[[#This Row],[Šifra motora]],Upis_stavki!J:J,"Ulaz")</f>
        <v>0</v>
      </c>
      <c r="V8" s="25">
        <f>SUMIFS(Upis_stavki!K:K,Upis_stavki!H:H,Stanje[[#This Row],[Šifra motora]],Upis_stavki!J:J,"Montirano")</f>
        <v>1</v>
      </c>
      <c r="W8" s="25">
        <f>SUMIFS(Upis_stavki!K:K,Upis_stavki!H:H,Stanje[[#This Row],[Šifra motora]],Upis_stavki!J:J,"Prodano")</f>
        <v>36</v>
      </c>
      <c r="X8" s="7">
        <f>IFERROR(VLOOKUP(Stanje[[#This Row],[Šifra motora]],baza_motora[],3,FALSE),"")</f>
        <v>63</v>
      </c>
      <c r="Y8" s="7">
        <f>IFERROR(Stanje[[#This Row],[Početan broj motora]]-Stanje[[#This Row],[Broj montiranih motora]]+Stanje[[#This Row],[Broj ulaza motora]],"")</f>
        <v>62</v>
      </c>
      <c r="Z8" s="25">
        <f>IFERROR(Stanje[[#This Row],[Početan broj motora]]-Stanje[[#This Row],[Broj prodanih motora]]-Stanje[[#This Row],[Broj montiranih motora]]+Stanje[[#This Row],[Broj ulaza motora]],"")</f>
        <v>26</v>
      </c>
    </row>
    <row r="9" spans="1:26" x14ac:dyDescent="0.35">
      <c r="A9" s="51">
        <v>44627</v>
      </c>
      <c r="B9" s="25">
        <f>IFERROR(IF(ISBLANK(Ulaz_izlaz[[#This Row],[Šifra proizvoda vrata]]),"",Ulaz_izlaz[[#This Row],[Šifra proizvoda vrata]]),"")</f>
        <v>13</v>
      </c>
      <c r="C9" s="25" t="str">
        <f>IFERROR(VLOOKUP(Stanje[[#This Row],[Šifra Vrata]],Vrata[],2,FALSE),"")</f>
        <v>5000 X 2250</v>
      </c>
      <c r="D9" s="25" t="str">
        <f>IFERROR(VLOOKUP(Stanje[[#This Row],[Šifra Vrata]],Vrata[],3,FALSE),"")</f>
        <v>RAL 9016 - WOOD</v>
      </c>
      <c r="E9" s="25">
        <f>SUMIFS(Upis_stavki!M:M,Upis_stavki!B:B,Stanje[[#This Row],[Šifra Vrata]],Upis_stavki!J:J,"Ulaz")</f>
        <v>0</v>
      </c>
      <c r="F9" s="7">
        <f>SUMIFS(Upis_stavki!M:M,Upis_stavki!B:B,Stanje[[#This Row],[Šifra Vrata]],Upis_stavki!J:J,"Montirano")</f>
        <v>0</v>
      </c>
      <c r="G9" s="7">
        <f>SUMIFS(Upis_stavki!M:M,Upis_stavki!B:B,Stanje[[#This Row],[Šifra Vrata]],Upis_stavki!J:J,"Prodano")</f>
        <v>1</v>
      </c>
      <c r="H9" s="25">
        <f>IFERROR(VLOOKUP(Stanje[[#This Row],[Šifra Vrata]],Vrata[],4,FALSE),"")</f>
        <v>3</v>
      </c>
      <c r="I9" s="25">
        <f>IFERROR(Stanje[[#This Row],[Početan broj vrata]]-Stanje[[#This Row],[Broj montiranih Vrata]]+Stanje[[#This Row],[Broj ulaza Vrata]],"")</f>
        <v>3</v>
      </c>
      <c r="J9" s="25">
        <f>IFERROR(Stanje[[#This Row],[Početan broj vrata]]-Stanje[[#This Row],[Broj prodanih Vrata]]-Stanje[[#This Row],[Broj montiranih Vrata]]+Stanje[[#This Row],[Broj ulaza Vrata]],"")</f>
        <v>2</v>
      </c>
      <c r="K9" s="45"/>
      <c r="L9" s="7" t="str">
        <f>IFERROR(IF(ISBLANK(Ulaz_izlaz[[#This Row],[Šifra vodilice]]),"",Ulaz_izlaz[[#This Row],[Šifra vodilice]]),"")</f>
        <v>V1</v>
      </c>
      <c r="M9" s="7">
        <f>SUMIFS(Upis_stavki!L:L,Upis_stavki!F:F,Stanje[[#This Row],[Šifra vodilica]],Upis_stavki!J:J,"Ulaz")</f>
        <v>0</v>
      </c>
      <c r="N9" s="7">
        <f>SUMIFS(Upis_stavki!L:L,Upis_stavki!F:F,Stanje[[#This Row],[Šifra vodilica]],Upis_stavki!J:J,"Montirano")</f>
        <v>1</v>
      </c>
      <c r="O9" s="25">
        <f>SUMIFS(Upis_stavki!L:L,Upis_stavki!F:F,Stanje[[#This Row],[Šifra vodilica]],Upis_stavki!J:J,"Prodano")</f>
        <v>14</v>
      </c>
      <c r="P9" s="25">
        <f>IFERROR(VLOOKUP(Stanje[[#This Row],[Šifra vodilica]],baza_vodilica[],3,FALSE),"")</f>
        <v>31</v>
      </c>
      <c r="Q9" s="25">
        <f>IFERROR(Stanje[[#This Row],[Početan broj vodilica]]-Stanje[[#This Row],[Broj montiranih vodilica]]+Stanje[[#This Row],[Broj ulaza vodilica]],"")</f>
        <v>30</v>
      </c>
      <c r="R9" s="25">
        <f>IFERROR(Stanje[[#This Row],[Početan broj vodilica]]-Stanje[[#This Row],[Broj prodanih vodilica]]-Stanje[[#This Row],[Broj montiranih vodilica]]+Stanje[[#This Row],[Broj ulaza vodilica]],"")</f>
        <v>16</v>
      </c>
      <c r="S9" s="45"/>
      <c r="T9" s="25" t="str">
        <f>IFERROR(IF(ISBLANK(Ulaz_izlaz[[#This Row],[Šifra motora]]),"",Ulaz_izlaz[[#This Row],[Šifra motora]]),"")</f>
        <v>M2</v>
      </c>
      <c r="U9" s="7">
        <f>SUMIFS(Upis_stavki!K:K,Upis_stavki!H:H,Stanje[[#This Row],[Šifra motora]],Upis_stavki!J:J,"Ulaz")</f>
        <v>0</v>
      </c>
      <c r="V9" s="25">
        <f>SUMIFS(Upis_stavki!K:K,Upis_stavki!H:H,Stanje[[#This Row],[Šifra motora]],Upis_stavki!J:J,"Montirano")</f>
        <v>0</v>
      </c>
      <c r="W9" s="25">
        <f>SUMIFS(Upis_stavki!K:K,Upis_stavki!H:H,Stanje[[#This Row],[Šifra motora]],Upis_stavki!J:J,"Prodano")</f>
        <v>13</v>
      </c>
      <c r="X9" s="7">
        <f>IFERROR(VLOOKUP(Stanje[[#This Row],[Šifra motora]],baza_motora[],3,FALSE),"")</f>
        <v>19</v>
      </c>
      <c r="Y9" s="7">
        <f>IFERROR(Stanje[[#This Row],[Početan broj motora]]-Stanje[[#This Row],[Broj montiranih motora]]+Stanje[[#This Row],[Broj ulaza motora]],"")</f>
        <v>19</v>
      </c>
      <c r="Z9" s="25">
        <f>IFERROR(Stanje[[#This Row],[Početan broj motora]]-Stanje[[#This Row],[Broj prodanih motora]]-Stanje[[#This Row],[Broj montiranih motora]]+Stanje[[#This Row],[Broj ulaza motora]],"")</f>
        <v>6</v>
      </c>
    </row>
    <row r="10" spans="1:26" x14ac:dyDescent="0.35">
      <c r="A10" s="51">
        <v>44627</v>
      </c>
      <c r="B10" s="25">
        <f>IFERROR(IF(ISBLANK(Ulaz_izlaz[[#This Row],[Šifra proizvoda vrata]]),"",Ulaz_izlaz[[#This Row],[Šifra proizvoda vrata]]),"")</f>
        <v>93</v>
      </c>
      <c r="C10" s="25" t="str">
        <f>IFERROR(VLOOKUP(Stanje[[#This Row],[Šifra Vrata]],Vrata[],2,FALSE),"")</f>
        <v>2500 X 2250</v>
      </c>
      <c r="D10" s="25" t="str">
        <f>IFERROR(VLOOKUP(Stanje[[#This Row],[Šifra Vrata]],Vrata[],3,FALSE),"")</f>
        <v>RAL 9007</v>
      </c>
      <c r="E10" s="25">
        <f>SUMIFS(Upis_stavki!M:M,Upis_stavki!B:B,Stanje[[#This Row],[Šifra Vrata]],Upis_stavki!J:J,"Ulaz")</f>
        <v>0</v>
      </c>
      <c r="F10" s="7">
        <f>SUMIFS(Upis_stavki!M:M,Upis_stavki!B:B,Stanje[[#This Row],[Šifra Vrata]],Upis_stavki!J:J,"Montirano")</f>
        <v>0</v>
      </c>
      <c r="G10" s="7">
        <f>SUMIFS(Upis_stavki!M:M,Upis_stavki!B:B,Stanje[[#This Row],[Šifra Vrata]],Upis_stavki!J:J,"Prodano")</f>
        <v>10</v>
      </c>
      <c r="H10" s="25">
        <f>IFERROR(VLOOKUP(Stanje[[#This Row],[Šifra Vrata]],Vrata[],4,FALSE),"")</f>
        <v>0</v>
      </c>
      <c r="I10" s="25">
        <f>IFERROR(Stanje[[#This Row],[Početan broj vrata]]-Stanje[[#This Row],[Broj montiranih Vrata]]+Stanje[[#This Row],[Broj ulaza Vrata]],"")</f>
        <v>0</v>
      </c>
      <c r="J10" s="25">
        <f>IFERROR(Stanje[[#This Row],[Početan broj vrata]]-Stanje[[#This Row],[Broj prodanih Vrata]]-Stanje[[#This Row],[Broj montiranih Vrata]]+Stanje[[#This Row],[Broj ulaza Vrata]],"")</f>
        <v>-10</v>
      </c>
      <c r="K10" s="45"/>
      <c r="L10" s="7" t="str">
        <f>IFERROR(IF(ISBLANK(Ulaz_izlaz[[#This Row],[Šifra vodilice]]),"",Ulaz_izlaz[[#This Row],[Šifra vodilice]]),"")</f>
        <v/>
      </c>
      <c r="M10" s="7">
        <f>SUMIFS(Upis_stavki!L:L,Upis_stavki!F:F,Stanje[[#This Row],[Šifra vodilica]],Upis_stavki!J:J,"Ulaz")</f>
        <v>0</v>
      </c>
      <c r="N10" s="7">
        <f>SUMIFS(Upis_stavki!L:L,Upis_stavki!F:F,Stanje[[#This Row],[Šifra vodilica]],Upis_stavki!J:J,"Montirano")</f>
        <v>0</v>
      </c>
      <c r="O10" s="25">
        <f>SUMIFS(Upis_stavki!L:L,Upis_stavki!F:F,Stanje[[#This Row],[Šifra vodilica]],Upis_stavki!J:J,"Prodano")</f>
        <v>0</v>
      </c>
      <c r="P10" s="25" t="str">
        <f>IFERROR(VLOOKUP(Stanje[[#This Row],[Šifra vodilica]],baza_vodilica[],3,FALSE),"")</f>
        <v/>
      </c>
      <c r="Q10" s="25" t="str">
        <f>IFERROR(Stanje[[#This Row],[Početan broj vodilica]]-Stanje[[#This Row],[Broj montiranih vodilica]]+Stanje[[#This Row],[Broj ulaza vodilica]],"")</f>
        <v/>
      </c>
      <c r="R10" s="25" t="str">
        <f>IFERROR(Stanje[[#This Row],[Početan broj vodilica]]-Stanje[[#This Row],[Broj prodanih vodilica]]-Stanje[[#This Row],[Broj montiranih vodilica]]+Stanje[[#This Row],[Broj ulaza vodilica]],"")</f>
        <v/>
      </c>
      <c r="S10" s="45"/>
      <c r="T10" s="25" t="str">
        <f>IFERROR(IF(ISBLANK(Ulaz_izlaz[[#This Row],[Šifra motora]]),"",Ulaz_izlaz[[#This Row],[Šifra motora]]),"")</f>
        <v>M1</v>
      </c>
      <c r="U10" s="7">
        <f>SUMIFS(Upis_stavki!K:K,Upis_stavki!H:H,Stanje[[#This Row],[Šifra motora]],Upis_stavki!J:J,"Ulaz")</f>
        <v>0</v>
      </c>
      <c r="V10" s="25">
        <f>SUMIFS(Upis_stavki!K:K,Upis_stavki!H:H,Stanje[[#This Row],[Šifra motora]],Upis_stavki!J:J,"Montirano")</f>
        <v>1</v>
      </c>
      <c r="W10" s="25">
        <f>SUMIFS(Upis_stavki!K:K,Upis_stavki!H:H,Stanje[[#This Row],[Šifra motora]],Upis_stavki!J:J,"Prodano")</f>
        <v>36</v>
      </c>
      <c r="X10" s="7">
        <f>IFERROR(VLOOKUP(Stanje[[#This Row],[Šifra motora]],baza_motora[],3,FALSE),"")</f>
        <v>63</v>
      </c>
      <c r="Y10" s="7">
        <f>IFERROR(Stanje[[#This Row],[Početan broj motora]]-Stanje[[#This Row],[Broj montiranih motora]]+Stanje[[#This Row],[Broj ulaza motora]],"")</f>
        <v>62</v>
      </c>
      <c r="Z10" s="25">
        <f>IFERROR(Stanje[[#This Row],[Početan broj motora]]-Stanje[[#This Row],[Broj prodanih motora]]-Stanje[[#This Row],[Broj montiranih motora]]+Stanje[[#This Row],[Broj ulaza motora]],"")</f>
        <v>26</v>
      </c>
    </row>
    <row r="11" spans="1:26" x14ac:dyDescent="0.35">
      <c r="A11" s="51">
        <v>44627</v>
      </c>
      <c r="B11" s="25">
        <f>IFERROR(IF(ISBLANK(Ulaz_izlaz[[#This Row],[Šifra proizvoda vrata]]),"",Ulaz_izlaz[[#This Row],[Šifra proizvoda vrata]]),"")</f>
        <v>50</v>
      </c>
      <c r="C11" s="25" t="str">
        <f>IFERROR(VLOOKUP(Stanje[[#This Row],[Šifra Vrata]],Vrata[],2,FALSE),"")</f>
        <v>3000 X 2500</v>
      </c>
      <c r="D11" s="25" t="str">
        <f>IFERROR(VLOOKUP(Stanje[[#This Row],[Šifra Vrata]],Vrata[],3,FALSE),"")</f>
        <v>RAL 7016 PLAN</v>
      </c>
      <c r="E11" s="25">
        <f>SUMIFS(Upis_stavki!M:M,Upis_stavki!B:B,Stanje[[#This Row],[Šifra Vrata]],Upis_stavki!J:J,"Ulaz")</f>
        <v>0</v>
      </c>
      <c r="F11" s="7">
        <f>SUMIFS(Upis_stavki!M:M,Upis_stavki!B:B,Stanje[[#This Row],[Šifra Vrata]],Upis_stavki!J:J,"Montirano")</f>
        <v>0</v>
      </c>
      <c r="G11" s="7">
        <f>SUMIFS(Upis_stavki!M:M,Upis_stavki!B:B,Stanje[[#This Row],[Šifra Vrata]],Upis_stavki!J:J,"Prodano")</f>
        <v>2</v>
      </c>
      <c r="H11" s="25">
        <f>IFERROR(VLOOKUP(Stanje[[#This Row],[Šifra Vrata]],Vrata[],4,FALSE),"")</f>
        <v>2</v>
      </c>
      <c r="I11" s="25">
        <f>IFERROR(Stanje[[#This Row],[Početan broj vrata]]-Stanje[[#This Row],[Broj montiranih Vrata]]+Stanje[[#This Row],[Broj ulaza Vrata]],"")</f>
        <v>2</v>
      </c>
      <c r="J11" s="25">
        <f>IFERROR(Stanje[[#This Row],[Početan broj vrata]]-Stanje[[#This Row],[Broj prodanih Vrata]]-Stanje[[#This Row],[Broj montiranih Vrata]]+Stanje[[#This Row],[Broj ulaza Vrata]],"")</f>
        <v>0</v>
      </c>
      <c r="K11" s="45"/>
      <c r="L11" s="7" t="str">
        <f>IFERROR(IF(ISBLANK(Ulaz_izlaz[[#This Row],[Šifra vodilice]]),"",Ulaz_izlaz[[#This Row],[Šifra vodilice]]),"")</f>
        <v>V3</v>
      </c>
      <c r="M11" s="7">
        <f>SUMIFS(Upis_stavki!L:L,Upis_stavki!F:F,Stanje[[#This Row],[Šifra vodilica]],Upis_stavki!J:J,"Ulaz")</f>
        <v>0</v>
      </c>
      <c r="N11" s="7">
        <f>SUMIFS(Upis_stavki!L:L,Upis_stavki!F:F,Stanje[[#This Row],[Šifra vodilica]],Upis_stavki!J:J,"Montirano")</f>
        <v>0</v>
      </c>
      <c r="O11" s="25">
        <f>SUMIFS(Upis_stavki!L:L,Upis_stavki!F:F,Stanje[[#This Row],[Šifra vodilica]],Upis_stavki!J:J,"Prodano")</f>
        <v>1</v>
      </c>
      <c r="P11" s="25">
        <f>IFERROR(VLOOKUP(Stanje[[#This Row],[Šifra vodilica]],baza_vodilica[],3,FALSE),"")</f>
        <v>13</v>
      </c>
      <c r="Q11" s="25">
        <f>IFERROR(Stanje[[#This Row],[Početan broj vodilica]]-Stanje[[#This Row],[Broj montiranih vodilica]]+Stanje[[#This Row],[Broj ulaza vodilica]],"")</f>
        <v>13</v>
      </c>
      <c r="R11" s="25">
        <f>IFERROR(Stanje[[#This Row],[Početan broj vodilica]]-Stanje[[#This Row],[Broj prodanih vodilica]]-Stanje[[#This Row],[Broj montiranih vodilica]]+Stanje[[#This Row],[Broj ulaza vodilica]],"")</f>
        <v>12</v>
      </c>
      <c r="S11" s="45"/>
      <c r="T11" s="25" t="str">
        <f>IFERROR(IF(ISBLANK(Ulaz_izlaz[[#This Row],[Šifra motora]]),"",Ulaz_izlaz[[#This Row],[Šifra motora]]),"")</f>
        <v>M2</v>
      </c>
      <c r="U11" s="7">
        <f>SUMIFS(Upis_stavki!K:K,Upis_stavki!H:H,Stanje[[#This Row],[Šifra motora]],Upis_stavki!J:J,"Ulaz")</f>
        <v>0</v>
      </c>
      <c r="V11" s="25">
        <f>SUMIFS(Upis_stavki!K:K,Upis_stavki!H:H,Stanje[[#This Row],[Šifra motora]],Upis_stavki!J:J,"Montirano")</f>
        <v>0</v>
      </c>
      <c r="W11" s="25">
        <f>SUMIFS(Upis_stavki!K:K,Upis_stavki!H:H,Stanje[[#This Row],[Šifra motora]],Upis_stavki!J:J,"Prodano")</f>
        <v>13</v>
      </c>
      <c r="X11" s="7">
        <f>IFERROR(VLOOKUP(Stanje[[#This Row],[Šifra motora]],baza_motora[],3,FALSE),"")</f>
        <v>19</v>
      </c>
      <c r="Y11" s="7">
        <f>IFERROR(Stanje[[#This Row],[Početan broj motora]]-Stanje[[#This Row],[Broj montiranih motora]]+Stanje[[#This Row],[Broj ulaza motora]],"")</f>
        <v>19</v>
      </c>
      <c r="Z11" s="25">
        <f>IFERROR(Stanje[[#This Row],[Početan broj motora]]-Stanje[[#This Row],[Broj prodanih motora]]-Stanje[[#This Row],[Broj montiranih motora]]+Stanje[[#This Row],[Broj ulaza motora]],"")</f>
        <v>6</v>
      </c>
    </row>
    <row r="12" spans="1:26" x14ac:dyDescent="0.35">
      <c r="A12" s="51">
        <v>44627</v>
      </c>
      <c r="B12" s="25">
        <f>IFERROR(IF(ISBLANK(Ulaz_izlaz[[#This Row],[Šifra proizvoda vrata]]),"",Ulaz_izlaz[[#This Row],[Šifra proizvoda vrata]]),"")</f>
        <v>61</v>
      </c>
      <c r="C12" s="25" t="str">
        <f>IFERROR(VLOOKUP(Stanje[[#This Row],[Šifra Vrata]],Vrata[],2,FALSE),"")</f>
        <v>3000 X 2250</v>
      </c>
      <c r="D12" s="25" t="str">
        <f>IFERROR(VLOOKUP(Stanje[[#This Row],[Šifra Vrata]],Vrata[],3,FALSE),"")</f>
        <v>DARK OAK</v>
      </c>
      <c r="E12" s="25">
        <f>SUMIFS(Upis_stavki!M:M,Upis_stavki!B:B,Stanje[[#This Row],[Šifra Vrata]],Upis_stavki!J:J,"Ulaz")</f>
        <v>0</v>
      </c>
      <c r="F12" s="7">
        <f>SUMIFS(Upis_stavki!M:M,Upis_stavki!B:B,Stanje[[#This Row],[Šifra Vrata]],Upis_stavki!J:J,"Montirano")</f>
        <v>1</v>
      </c>
      <c r="G12" s="7">
        <f>SUMIFS(Upis_stavki!M:M,Upis_stavki!B:B,Stanje[[#This Row],[Šifra Vrata]],Upis_stavki!J:J,"Prodano")</f>
        <v>0</v>
      </c>
      <c r="H12" s="25">
        <f>IFERROR(VLOOKUP(Stanje[[#This Row],[Šifra Vrata]],Vrata[],4,FALSE),"")</f>
        <v>1</v>
      </c>
      <c r="I12" s="25">
        <f>IFERROR(Stanje[[#This Row],[Početan broj vrata]]-Stanje[[#This Row],[Broj montiranih Vrata]]+Stanje[[#This Row],[Broj ulaza Vrata]],"")</f>
        <v>0</v>
      </c>
      <c r="J12" s="25">
        <f>IFERROR(Stanje[[#This Row],[Početan broj vrata]]-Stanje[[#This Row],[Broj prodanih Vrata]]-Stanje[[#This Row],[Broj montiranih Vrata]]+Stanje[[#This Row],[Broj ulaza Vrata]],"")</f>
        <v>0</v>
      </c>
      <c r="K12" s="45"/>
      <c r="L12" s="7" t="str">
        <f>IFERROR(IF(ISBLANK(Ulaz_izlaz[[#This Row],[Šifra vodilice]]),"",Ulaz_izlaz[[#This Row],[Šifra vodilice]]),"")</f>
        <v/>
      </c>
      <c r="M12" s="7">
        <f>SUMIFS(Upis_stavki!L:L,Upis_stavki!F:F,Stanje[[#This Row],[Šifra vodilica]],Upis_stavki!J:J,"Ulaz")</f>
        <v>0</v>
      </c>
      <c r="N12" s="7">
        <f>SUMIFS(Upis_stavki!L:L,Upis_stavki!F:F,Stanje[[#This Row],[Šifra vodilica]],Upis_stavki!J:J,"Montirano")</f>
        <v>0</v>
      </c>
      <c r="O12" s="25">
        <f>SUMIFS(Upis_stavki!L:L,Upis_stavki!F:F,Stanje[[#This Row],[Šifra vodilica]],Upis_stavki!J:J,"Prodano")</f>
        <v>0</v>
      </c>
      <c r="P12" s="25" t="str">
        <f>IFERROR(VLOOKUP(Stanje[[#This Row],[Šifra vodilica]],baza_vodilica[],3,FALSE),"")</f>
        <v/>
      </c>
      <c r="Q12" s="25" t="str">
        <f>IFERROR(Stanje[[#This Row],[Početan broj vodilica]]-Stanje[[#This Row],[Broj montiranih vodilica]]+Stanje[[#This Row],[Broj ulaza vodilica]],"")</f>
        <v/>
      </c>
      <c r="R12" s="25" t="str">
        <f>IFERROR(Stanje[[#This Row],[Početan broj vodilica]]-Stanje[[#This Row],[Broj prodanih vodilica]]-Stanje[[#This Row],[Broj montiranih vodilica]]+Stanje[[#This Row],[Broj ulaza vodilica]],"")</f>
        <v/>
      </c>
      <c r="S12" s="45"/>
      <c r="T12" s="25" t="str">
        <f>IFERROR(IF(ISBLANK(Ulaz_izlaz[[#This Row],[Šifra motora]]),"",Ulaz_izlaz[[#This Row],[Šifra motora]]),"")</f>
        <v>M1</v>
      </c>
      <c r="U12" s="7">
        <f>SUMIFS(Upis_stavki!K:K,Upis_stavki!H:H,Stanje[[#This Row],[Šifra motora]],Upis_stavki!J:J,"Ulaz")</f>
        <v>0</v>
      </c>
      <c r="V12" s="25">
        <f>SUMIFS(Upis_stavki!K:K,Upis_stavki!H:H,Stanje[[#This Row],[Šifra motora]],Upis_stavki!J:J,"Montirano")</f>
        <v>1</v>
      </c>
      <c r="W12" s="25">
        <f>SUMIFS(Upis_stavki!K:K,Upis_stavki!H:H,Stanje[[#This Row],[Šifra motora]],Upis_stavki!J:J,"Prodano")</f>
        <v>36</v>
      </c>
      <c r="X12" s="7">
        <f>IFERROR(VLOOKUP(Stanje[[#This Row],[Šifra motora]],baza_motora[],3,FALSE),"")</f>
        <v>63</v>
      </c>
      <c r="Y12" s="7">
        <f>IFERROR(Stanje[[#This Row],[Početan broj motora]]-Stanje[[#This Row],[Broj montiranih motora]]+Stanje[[#This Row],[Broj ulaza motora]],"")</f>
        <v>62</v>
      </c>
      <c r="Z12" s="25">
        <f>IFERROR(Stanje[[#This Row],[Početan broj motora]]-Stanje[[#This Row],[Broj prodanih motora]]-Stanje[[#This Row],[Broj montiranih motora]]+Stanje[[#This Row],[Broj ulaza motora]],"")</f>
        <v>26</v>
      </c>
    </row>
    <row r="13" spans="1:26" x14ac:dyDescent="0.35">
      <c r="A13" s="51">
        <v>44627</v>
      </c>
      <c r="B13" s="25" t="str">
        <f>IFERROR(IF(ISBLANK(Ulaz_izlaz[[#This Row],[Šifra proizvoda vrata]]),"",Ulaz_izlaz[[#This Row],[Šifra proizvoda vrata]]),"")</f>
        <v/>
      </c>
      <c r="C13" s="25" t="str">
        <f>IFERROR(VLOOKUP(Stanje[[#This Row],[Šifra Vrata]],Vrata[],2,FALSE),"")</f>
        <v/>
      </c>
      <c r="D13" s="25" t="str">
        <f>IFERROR(VLOOKUP(Stanje[[#This Row],[Šifra Vrata]],Vrata[],3,FALSE),"")</f>
        <v/>
      </c>
      <c r="E13" s="25">
        <f>SUMIFS(Upis_stavki!M:M,Upis_stavki!B:B,Stanje[[#This Row],[Šifra Vrata]],Upis_stavki!J:J,"Ulaz")</f>
        <v>0</v>
      </c>
      <c r="F13" s="10">
        <f>SUMIFS(Upis_stavki!M:M,Upis_stavki!B:B,Stanje[[#This Row],[Šifra Vrata]],Upis_stavki!J:J,"Montirano")</f>
        <v>0</v>
      </c>
      <c r="G13" s="10">
        <f>SUMIFS(Upis_stavki!M:M,Upis_stavki!B:B,Stanje[[#This Row],[Šifra Vrata]],Upis_stavki!J:J,"Prodano")</f>
        <v>0</v>
      </c>
      <c r="H13" s="25" t="str">
        <f>IFERROR(VLOOKUP(Stanje[[#This Row],[Šifra Vrata]],Vrata[],4,FALSE),"")</f>
        <v/>
      </c>
      <c r="I13" s="25" t="str">
        <f>IFERROR(Stanje[[#This Row],[Početan broj vrata]]-Stanje[[#This Row],[Broj montiranih Vrata]]+Stanje[[#This Row],[Broj ulaza Vrata]],"")</f>
        <v/>
      </c>
      <c r="J13" s="25" t="str">
        <f>IFERROR(Stanje[[#This Row],[Početan broj vrata]]-Stanje[[#This Row],[Broj prodanih Vrata]]-Stanje[[#This Row],[Broj montiranih Vrata]]+Stanje[[#This Row],[Broj ulaza Vrata]],"")</f>
        <v/>
      </c>
      <c r="K13" s="45"/>
      <c r="L13" s="10" t="str">
        <f>IFERROR(IF(ISBLANK(Ulaz_izlaz[[#This Row],[Šifra vodilice]]),"",Ulaz_izlaz[[#This Row],[Šifra vodilice]]),"")</f>
        <v/>
      </c>
      <c r="M13" s="10">
        <f>SUMIFS(Upis_stavki!L:L,Upis_stavki!F:F,Stanje[[#This Row],[Šifra vodilica]],Upis_stavki!J:J,"Ulaz")</f>
        <v>0</v>
      </c>
      <c r="N13" s="10">
        <f>SUMIFS(Upis_stavki!L:L,Upis_stavki!F:F,Stanje[[#This Row],[Šifra vodilica]],Upis_stavki!J:J,"Montirano")</f>
        <v>0</v>
      </c>
      <c r="O13" s="25">
        <f>SUMIFS(Upis_stavki!L:L,Upis_stavki!F:F,Stanje[[#This Row],[Šifra vodilica]],Upis_stavki!J:J,"Prodano")</f>
        <v>0</v>
      </c>
      <c r="P13" s="25" t="str">
        <f>IFERROR(VLOOKUP(Stanje[[#This Row],[Šifra vodilica]],baza_vodilica[],3,FALSE),"")</f>
        <v/>
      </c>
      <c r="Q13" s="25" t="str">
        <f>IFERROR(Stanje[[#This Row],[Početan broj vodilica]]-Stanje[[#This Row],[Broj montiranih vodilica]]+Stanje[[#This Row],[Broj ulaza vodilica]],"")</f>
        <v/>
      </c>
      <c r="R13" s="25" t="str">
        <f>IFERROR(Stanje[[#This Row],[Početan broj vodilica]]-Stanje[[#This Row],[Broj prodanih vodilica]]-Stanje[[#This Row],[Broj montiranih vodilica]]+Stanje[[#This Row],[Broj ulaza vodilica]],"")</f>
        <v/>
      </c>
      <c r="S13" s="45"/>
      <c r="T13" s="25" t="str">
        <f>IFERROR(IF(ISBLANK(Ulaz_izlaz[[#This Row],[Šifra motora]]),"",Ulaz_izlaz[[#This Row],[Šifra motora]]),"")</f>
        <v>M7</v>
      </c>
      <c r="U13" s="10">
        <f>SUMIFS(Upis_stavki!K:K,Upis_stavki!H:H,Stanje[[#This Row],[Šifra motora]],Upis_stavki!J:J,"Ulaz")</f>
        <v>0</v>
      </c>
      <c r="V13" s="25">
        <f>SUMIFS(Upis_stavki!K:K,Upis_stavki!H:H,Stanje[[#This Row],[Šifra motora]],Upis_stavki!J:J,"Montirano")</f>
        <v>2</v>
      </c>
      <c r="W13" s="25">
        <f>SUMIFS(Upis_stavki!K:K,Upis_stavki!H:H,Stanje[[#This Row],[Šifra motora]],Upis_stavki!J:J,"Prodano")</f>
        <v>3</v>
      </c>
      <c r="X13" s="10">
        <f>IFERROR(VLOOKUP(Stanje[[#This Row],[Šifra motora]],baza_motora[],3,FALSE),"")</f>
        <v>6</v>
      </c>
      <c r="Y13" s="10">
        <f>IFERROR(Stanje[[#This Row],[Početan broj motora]]-Stanje[[#This Row],[Broj montiranih motora]]+Stanje[[#This Row],[Broj ulaza motora]],"")</f>
        <v>4</v>
      </c>
      <c r="Z13" s="25">
        <f>IFERROR(Stanje[[#This Row],[Početan broj motora]]-Stanje[[#This Row],[Broj prodanih motora]]-Stanje[[#This Row],[Broj montiranih motora]]+Stanje[[#This Row],[Broj ulaza motora]],"")</f>
        <v>1</v>
      </c>
    </row>
    <row r="14" spans="1:26" x14ac:dyDescent="0.35">
      <c r="A14" s="51">
        <v>44627</v>
      </c>
      <c r="B14" s="25">
        <f>IFERROR(IF(ISBLANK(Ulaz_izlaz[[#This Row],[Šifra proizvoda vrata]]),"",Ulaz_izlaz[[#This Row],[Šifra proizvoda vrata]]),"")</f>
        <v>105</v>
      </c>
      <c r="C14" s="25" t="str">
        <f>IFERROR(VLOOKUP(Stanje[[#This Row],[Šifra Vrata]],Vrata[],2,FALSE),"")</f>
        <v>4000 X 2250</v>
      </c>
      <c r="D14" s="25" t="str">
        <f>IFERROR(VLOOKUP(Stanje[[#This Row],[Šifra Vrata]],Vrata[],3,FALSE),"")</f>
        <v>DURAGRAIN</v>
      </c>
      <c r="E14" s="25">
        <f>SUMIFS(Upis_stavki!M:M,Upis_stavki!B:B,Stanje[[#This Row],[Šifra Vrata]],Upis_stavki!J:J,"Ulaz")</f>
        <v>0</v>
      </c>
      <c r="F14" s="10">
        <f>SUMIFS(Upis_stavki!M:M,Upis_stavki!B:B,Stanje[[#This Row],[Šifra Vrata]],Upis_stavki!J:J,"Montirano")</f>
        <v>0</v>
      </c>
      <c r="G14" s="10">
        <f>SUMIFS(Upis_stavki!M:M,Upis_stavki!B:B,Stanje[[#This Row],[Šifra Vrata]],Upis_stavki!J:J,"Prodano")</f>
        <v>1</v>
      </c>
      <c r="H14" s="25">
        <f>IFERROR(VLOOKUP(Stanje[[#This Row],[Šifra Vrata]],Vrata[],4,FALSE),"")</f>
        <v>1</v>
      </c>
      <c r="I14" s="25">
        <f>IFERROR(Stanje[[#This Row],[Početan broj vrata]]-Stanje[[#This Row],[Broj montiranih Vrata]]+Stanje[[#This Row],[Broj ulaza Vrata]],"")</f>
        <v>1</v>
      </c>
      <c r="J14" s="25">
        <f>IFERROR(Stanje[[#This Row],[Početan broj vrata]]-Stanje[[#This Row],[Broj prodanih Vrata]]-Stanje[[#This Row],[Broj montiranih Vrata]]+Stanje[[#This Row],[Broj ulaza Vrata]],"")</f>
        <v>0</v>
      </c>
      <c r="K14" s="45"/>
      <c r="L14" s="10" t="str">
        <f>IFERROR(IF(ISBLANK(Ulaz_izlaz[[#This Row],[Šifra vodilice]]),"",Ulaz_izlaz[[#This Row],[Šifra vodilice]]),"")</f>
        <v>V1</v>
      </c>
      <c r="M14" s="10">
        <f>SUMIFS(Upis_stavki!L:L,Upis_stavki!F:F,Stanje[[#This Row],[Šifra vodilica]],Upis_stavki!J:J,"Ulaz")</f>
        <v>0</v>
      </c>
      <c r="N14" s="10">
        <f>SUMIFS(Upis_stavki!L:L,Upis_stavki!F:F,Stanje[[#This Row],[Šifra vodilica]],Upis_stavki!J:J,"Montirano")</f>
        <v>1</v>
      </c>
      <c r="O14" s="25">
        <f>SUMIFS(Upis_stavki!L:L,Upis_stavki!F:F,Stanje[[#This Row],[Šifra vodilica]],Upis_stavki!J:J,"Prodano")</f>
        <v>14</v>
      </c>
      <c r="P14" s="25">
        <f>IFERROR(VLOOKUP(Stanje[[#This Row],[Šifra vodilica]],baza_vodilica[],3,FALSE),"")</f>
        <v>31</v>
      </c>
      <c r="Q14" s="25">
        <f>IFERROR(Stanje[[#This Row],[Početan broj vodilica]]-Stanje[[#This Row],[Broj montiranih vodilica]]+Stanje[[#This Row],[Broj ulaza vodilica]],"")</f>
        <v>30</v>
      </c>
      <c r="R14" s="25">
        <f>IFERROR(Stanje[[#This Row],[Početan broj vodilica]]-Stanje[[#This Row],[Broj prodanih vodilica]]-Stanje[[#This Row],[Broj montiranih vodilica]]+Stanje[[#This Row],[Broj ulaza vodilica]],"")</f>
        <v>16</v>
      </c>
      <c r="S14" s="45"/>
      <c r="T14" s="25" t="str">
        <f>IFERROR(IF(ISBLANK(Ulaz_izlaz[[#This Row],[Šifra motora]]),"",Ulaz_izlaz[[#This Row],[Šifra motora]]),"")</f>
        <v>M2</v>
      </c>
      <c r="U14" s="10">
        <f>SUMIFS(Upis_stavki!K:K,Upis_stavki!H:H,Stanje[[#This Row],[Šifra motora]],Upis_stavki!J:J,"Ulaz")</f>
        <v>0</v>
      </c>
      <c r="V14" s="25">
        <f>SUMIFS(Upis_stavki!K:K,Upis_stavki!H:H,Stanje[[#This Row],[Šifra motora]],Upis_stavki!J:J,"Montirano")</f>
        <v>0</v>
      </c>
      <c r="W14" s="25">
        <f>SUMIFS(Upis_stavki!K:K,Upis_stavki!H:H,Stanje[[#This Row],[Šifra motora]],Upis_stavki!J:J,"Prodano")</f>
        <v>13</v>
      </c>
      <c r="X14" s="10">
        <f>IFERROR(VLOOKUP(Stanje[[#This Row],[Šifra motora]],baza_motora[],3,FALSE),"")</f>
        <v>19</v>
      </c>
      <c r="Y14" s="10">
        <f>IFERROR(Stanje[[#This Row],[Početan broj motora]]-Stanje[[#This Row],[Broj montiranih motora]]+Stanje[[#This Row],[Broj ulaza motora]],"")</f>
        <v>19</v>
      </c>
      <c r="Z14" s="25">
        <f>IFERROR(Stanje[[#This Row],[Početan broj motora]]-Stanje[[#This Row],[Broj prodanih motora]]-Stanje[[#This Row],[Broj montiranih motora]]+Stanje[[#This Row],[Broj ulaza motora]],"")</f>
        <v>6</v>
      </c>
    </row>
    <row r="15" spans="1:26" x14ac:dyDescent="0.35">
      <c r="A15" s="51">
        <v>44627</v>
      </c>
      <c r="B15" s="25">
        <f>IFERROR(IF(ISBLANK(Ulaz_izlaz[[#This Row],[Šifra proizvoda vrata]]),"",Ulaz_izlaz[[#This Row],[Šifra proizvoda vrata]]),"")</f>
        <v>44</v>
      </c>
      <c r="C15" s="25" t="str">
        <f>IFERROR(VLOOKUP(Stanje[[#This Row],[Šifra Vrata]],Vrata[],2,FALSE),"")</f>
        <v>3000 X 2250</v>
      </c>
      <c r="D15" s="25" t="str">
        <f>IFERROR(VLOOKUP(Stanje[[#This Row],[Šifra Vrata]],Vrata[],3,FALSE),"")</f>
        <v>RAL 7016 PLAN</v>
      </c>
      <c r="E15" s="25">
        <f>SUMIFS(Upis_stavki!M:M,Upis_stavki!B:B,Stanje[[#This Row],[Šifra Vrata]],Upis_stavki!J:J,"Ulaz")</f>
        <v>0</v>
      </c>
      <c r="F15" s="10">
        <f>SUMIFS(Upis_stavki!M:M,Upis_stavki!B:B,Stanje[[#This Row],[Šifra Vrata]],Upis_stavki!J:J,"Montirano")</f>
        <v>1</v>
      </c>
      <c r="G15" s="10">
        <f>SUMIFS(Upis_stavki!M:M,Upis_stavki!B:B,Stanje[[#This Row],[Šifra Vrata]],Upis_stavki!J:J,"Prodano")</f>
        <v>1</v>
      </c>
      <c r="H15" s="25">
        <f>IFERROR(VLOOKUP(Stanje[[#This Row],[Šifra Vrata]],Vrata[],4,FALSE),"")</f>
        <v>3</v>
      </c>
      <c r="I15" s="25">
        <f>IFERROR(Stanje[[#This Row],[Početan broj vrata]]-Stanje[[#This Row],[Broj montiranih Vrata]]+Stanje[[#This Row],[Broj ulaza Vrata]],"")</f>
        <v>2</v>
      </c>
      <c r="J15" s="25">
        <f>IFERROR(Stanje[[#This Row],[Početan broj vrata]]-Stanje[[#This Row],[Broj prodanih Vrata]]-Stanje[[#This Row],[Broj montiranih Vrata]]+Stanje[[#This Row],[Broj ulaza Vrata]],"")</f>
        <v>1</v>
      </c>
      <c r="K15" s="45"/>
      <c r="L15" s="10" t="str">
        <f>IFERROR(IF(ISBLANK(Ulaz_izlaz[[#This Row],[Šifra vodilice]]),"",Ulaz_izlaz[[#This Row],[Šifra vodilice]]),"")</f>
        <v>V2</v>
      </c>
      <c r="M15" s="10">
        <f>SUMIFS(Upis_stavki!L:L,Upis_stavki!F:F,Stanje[[#This Row],[Šifra vodilica]],Upis_stavki!J:J,"Ulaz")</f>
        <v>0</v>
      </c>
      <c r="N15" s="10">
        <f>SUMIFS(Upis_stavki!L:L,Upis_stavki!F:F,Stanje[[#This Row],[Šifra vodilica]],Upis_stavki!J:J,"Montirano")</f>
        <v>0</v>
      </c>
      <c r="O15" s="25">
        <f>SUMIFS(Upis_stavki!L:L,Upis_stavki!F:F,Stanje[[#This Row],[Šifra vodilica]],Upis_stavki!J:J,"Prodano")</f>
        <v>4</v>
      </c>
      <c r="P15" s="25">
        <f>IFERROR(VLOOKUP(Stanje[[#This Row],[Šifra vodilica]],baza_vodilica[],3,FALSE),"")</f>
        <v>18</v>
      </c>
      <c r="Q15" s="25">
        <f>IFERROR(Stanje[[#This Row],[Početan broj vodilica]]-Stanje[[#This Row],[Broj montiranih vodilica]]+Stanje[[#This Row],[Broj ulaza vodilica]],"")</f>
        <v>18</v>
      </c>
      <c r="R15" s="25">
        <f>IFERROR(Stanje[[#This Row],[Početan broj vodilica]]-Stanje[[#This Row],[Broj prodanih vodilica]]-Stanje[[#This Row],[Broj montiranih vodilica]]+Stanje[[#This Row],[Broj ulaza vodilica]],"")</f>
        <v>14</v>
      </c>
      <c r="S15" s="45"/>
      <c r="T15" s="25" t="str">
        <f>IFERROR(IF(ISBLANK(Ulaz_izlaz[[#This Row],[Šifra motora]]),"",Ulaz_izlaz[[#This Row],[Šifra motora]]),"")</f>
        <v>M3</v>
      </c>
      <c r="U15" s="10">
        <f>SUMIFS(Upis_stavki!K:K,Upis_stavki!H:H,Stanje[[#This Row],[Šifra motora]],Upis_stavki!J:J,"Ulaz")</f>
        <v>0</v>
      </c>
      <c r="V15" s="25">
        <f>SUMIFS(Upis_stavki!K:K,Upis_stavki!H:H,Stanje[[#This Row],[Šifra motora]],Upis_stavki!J:J,"Montirano")</f>
        <v>0</v>
      </c>
      <c r="W15" s="25">
        <f>SUMIFS(Upis_stavki!K:K,Upis_stavki!H:H,Stanje[[#This Row],[Šifra motora]],Upis_stavki!J:J,"Prodano")</f>
        <v>3</v>
      </c>
      <c r="X15" s="10">
        <f>IFERROR(VLOOKUP(Stanje[[#This Row],[Šifra motora]],baza_motora[],3,FALSE),"")</f>
        <v>20</v>
      </c>
      <c r="Y15" s="10">
        <f>IFERROR(Stanje[[#This Row],[Početan broj motora]]-Stanje[[#This Row],[Broj montiranih motora]]+Stanje[[#This Row],[Broj ulaza motora]],"")</f>
        <v>20</v>
      </c>
      <c r="Z15" s="25">
        <f>IFERROR(Stanje[[#This Row],[Početan broj motora]]-Stanje[[#This Row],[Broj prodanih motora]]-Stanje[[#This Row],[Broj montiranih motora]]+Stanje[[#This Row],[Broj ulaza motora]],"")</f>
        <v>17</v>
      </c>
    </row>
    <row r="16" spans="1:26" x14ac:dyDescent="0.35">
      <c r="A16" s="51">
        <v>44627</v>
      </c>
      <c r="B16" s="25">
        <f>IFERROR(IF(ISBLANK(Ulaz_izlaz[[#This Row],[Šifra proizvoda vrata]]),"",Ulaz_izlaz[[#This Row],[Šifra proizvoda vrata]]),"")</f>
        <v>3</v>
      </c>
      <c r="C16" s="25" t="str">
        <f>IFERROR(VLOOKUP(Stanje[[#This Row],[Šifra Vrata]],Vrata[],2,FALSE),"")</f>
        <v>3000 X 2000</v>
      </c>
      <c r="D16" s="25" t="str">
        <f>IFERROR(VLOOKUP(Stanje[[#This Row],[Šifra Vrata]],Vrata[],3,FALSE),"")</f>
        <v>RAL 9016 - WOOD</v>
      </c>
      <c r="E16" s="25">
        <f>SUMIFS(Upis_stavki!M:M,Upis_stavki!B:B,Stanje[[#This Row],[Šifra Vrata]],Upis_stavki!J:J,"Ulaz")</f>
        <v>0</v>
      </c>
      <c r="F16" s="10">
        <f>SUMIFS(Upis_stavki!M:M,Upis_stavki!B:B,Stanje[[#This Row],[Šifra Vrata]],Upis_stavki!J:J,"Montirano")</f>
        <v>0</v>
      </c>
      <c r="G16" s="10">
        <f>SUMIFS(Upis_stavki!M:M,Upis_stavki!B:B,Stanje[[#This Row],[Šifra Vrata]],Upis_stavki!J:J,"Prodano")</f>
        <v>1</v>
      </c>
      <c r="H16" s="25">
        <f>IFERROR(VLOOKUP(Stanje[[#This Row],[Šifra Vrata]],Vrata[],4,FALSE),"")</f>
        <v>6</v>
      </c>
      <c r="I16" s="25">
        <f>IFERROR(Stanje[[#This Row],[Početan broj vrata]]-Stanje[[#This Row],[Broj montiranih Vrata]]+Stanje[[#This Row],[Broj ulaza Vrata]],"")</f>
        <v>6</v>
      </c>
      <c r="J16" s="25">
        <f>IFERROR(Stanje[[#This Row],[Početan broj vrata]]-Stanje[[#This Row],[Broj prodanih Vrata]]-Stanje[[#This Row],[Broj montiranih Vrata]]+Stanje[[#This Row],[Broj ulaza Vrata]],"")</f>
        <v>5</v>
      </c>
      <c r="K16" s="45"/>
      <c r="L16" s="10" t="str">
        <f>IFERROR(IF(ISBLANK(Ulaz_izlaz[[#This Row],[Šifra vodilice]]),"",Ulaz_izlaz[[#This Row],[Šifra vodilice]]),"")</f>
        <v/>
      </c>
      <c r="M16" s="10">
        <f>SUMIFS(Upis_stavki!L:L,Upis_stavki!F:F,Stanje[[#This Row],[Šifra vodilica]],Upis_stavki!J:J,"Ulaz")</f>
        <v>0</v>
      </c>
      <c r="N16" s="10">
        <f>SUMIFS(Upis_stavki!L:L,Upis_stavki!F:F,Stanje[[#This Row],[Šifra vodilica]],Upis_stavki!J:J,"Montirano")</f>
        <v>0</v>
      </c>
      <c r="O16" s="25">
        <f>SUMIFS(Upis_stavki!L:L,Upis_stavki!F:F,Stanje[[#This Row],[Šifra vodilica]],Upis_stavki!J:J,"Prodano")</f>
        <v>0</v>
      </c>
      <c r="P16" s="25" t="str">
        <f>IFERROR(VLOOKUP(Stanje[[#This Row],[Šifra vodilica]],baza_vodilica[],3,FALSE),"")</f>
        <v/>
      </c>
      <c r="Q16" s="25" t="str">
        <f>IFERROR(Stanje[[#This Row],[Početan broj vodilica]]-Stanje[[#This Row],[Broj montiranih vodilica]]+Stanje[[#This Row],[Broj ulaza vodilica]],"")</f>
        <v/>
      </c>
      <c r="R16" s="25" t="str">
        <f>IFERROR(Stanje[[#This Row],[Početan broj vodilica]]-Stanje[[#This Row],[Broj prodanih vodilica]]-Stanje[[#This Row],[Broj montiranih vodilica]]+Stanje[[#This Row],[Broj ulaza vodilica]],"")</f>
        <v/>
      </c>
      <c r="S16" s="45"/>
      <c r="T16" s="25" t="str">
        <f>IFERROR(IF(ISBLANK(Ulaz_izlaz[[#This Row],[Šifra motora]]),"",Ulaz_izlaz[[#This Row],[Šifra motora]]),"")</f>
        <v>M2</v>
      </c>
      <c r="U16" s="10">
        <f>SUMIFS(Upis_stavki!K:K,Upis_stavki!H:H,Stanje[[#This Row],[Šifra motora]],Upis_stavki!J:J,"Ulaz")</f>
        <v>0</v>
      </c>
      <c r="V16" s="25">
        <f>SUMIFS(Upis_stavki!K:K,Upis_stavki!H:H,Stanje[[#This Row],[Šifra motora]],Upis_stavki!J:J,"Montirano")</f>
        <v>0</v>
      </c>
      <c r="W16" s="25">
        <f>SUMIFS(Upis_stavki!K:K,Upis_stavki!H:H,Stanje[[#This Row],[Šifra motora]],Upis_stavki!J:J,"Prodano")</f>
        <v>13</v>
      </c>
      <c r="X16" s="10">
        <f>IFERROR(VLOOKUP(Stanje[[#This Row],[Šifra motora]],baza_motora[],3,FALSE),"")</f>
        <v>19</v>
      </c>
      <c r="Y16" s="10">
        <f>IFERROR(Stanje[[#This Row],[Početan broj motora]]-Stanje[[#This Row],[Broj montiranih motora]]+Stanje[[#This Row],[Broj ulaza motora]],"")</f>
        <v>19</v>
      </c>
      <c r="Z16" s="25">
        <f>IFERROR(Stanje[[#This Row],[Početan broj motora]]-Stanje[[#This Row],[Broj prodanih motora]]-Stanje[[#This Row],[Broj montiranih motora]]+Stanje[[#This Row],[Broj ulaza motora]],"")</f>
        <v>6</v>
      </c>
    </row>
    <row r="17" spans="1:26" x14ac:dyDescent="0.35">
      <c r="A17" s="51">
        <v>44627</v>
      </c>
      <c r="B17" s="25">
        <f>IFERROR(IF(ISBLANK(Ulaz_izlaz[[#This Row],[Šifra proizvoda vrata]]),"",Ulaz_izlaz[[#This Row],[Šifra proizvoda vrata]]),"")</f>
        <v>47</v>
      </c>
      <c r="C17" s="25" t="str">
        <f>IFERROR(VLOOKUP(Stanje[[#This Row],[Šifra Vrata]],Vrata[],2,FALSE),"")</f>
        <v>5000 X 2250</v>
      </c>
      <c r="D17" s="25" t="str">
        <f>IFERROR(VLOOKUP(Stanje[[#This Row],[Šifra Vrata]],Vrata[],3,FALSE),"")</f>
        <v>RAL 7016 PLAN</v>
      </c>
      <c r="E17" s="25">
        <f>SUMIFS(Upis_stavki!M:M,Upis_stavki!B:B,Stanje[[#This Row],[Šifra Vrata]],Upis_stavki!J:J,"Ulaz")</f>
        <v>0</v>
      </c>
      <c r="F17" s="10">
        <f>SUMIFS(Upis_stavki!M:M,Upis_stavki!B:B,Stanje[[#This Row],[Šifra Vrata]],Upis_stavki!J:J,"Montirano")</f>
        <v>0</v>
      </c>
      <c r="G17" s="10">
        <f>SUMIFS(Upis_stavki!M:M,Upis_stavki!B:B,Stanje[[#This Row],[Šifra Vrata]],Upis_stavki!J:J,"Prodano")</f>
        <v>4</v>
      </c>
      <c r="H17" s="25">
        <f>IFERROR(VLOOKUP(Stanje[[#This Row],[Šifra Vrata]],Vrata[],4,FALSE),"")</f>
        <v>11</v>
      </c>
      <c r="I17" s="25">
        <f>IFERROR(Stanje[[#This Row],[Početan broj vrata]]-Stanje[[#This Row],[Broj montiranih Vrata]]+Stanje[[#This Row],[Broj ulaza Vrata]],"")</f>
        <v>11</v>
      </c>
      <c r="J17" s="25">
        <f>IFERROR(Stanje[[#This Row],[Početan broj vrata]]-Stanje[[#This Row],[Broj prodanih Vrata]]-Stanje[[#This Row],[Broj montiranih Vrata]]+Stanje[[#This Row],[Broj ulaza Vrata]],"")</f>
        <v>7</v>
      </c>
      <c r="K17" s="45"/>
      <c r="L17" s="10" t="str">
        <f>IFERROR(IF(ISBLANK(Ulaz_izlaz[[#This Row],[Šifra vodilice]]),"",Ulaz_izlaz[[#This Row],[Šifra vodilice]]),"")</f>
        <v>V1</v>
      </c>
      <c r="M17" s="10">
        <f>SUMIFS(Upis_stavki!L:L,Upis_stavki!F:F,Stanje[[#This Row],[Šifra vodilica]],Upis_stavki!J:J,"Ulaz")</f>
        <v>0</v>
      </c>
      <c r="N17" s="10">
        <f>SUMIFS(Upis_stavki!L:L,Upis_stavki!F:F,Stanje[[#This Row],[Šifra vodilica]],Upis_stavki!J:J,"Montirano")</f>
        <v>1</v>
      </c>
      <c r="O17" s="25">
        <f>SUMIFS(Upis_stavki!L:L,Upis_stavki!F:F,Stanje[[#This Row],[Šifra vodilica]],Upis_stavki!J:J,"Prodano")</f>
        <v>14</v>
      </c>
      <c r="P17" s="25">
        <f>IFERROR(VLOOKUP(Stanje[[#This Row],[Šifra vodilica]],baza_vodilica[],3,FALSE),"")</f>
        <v>31</v>
      </c>
      <c r="Q17" s="25">
        <f>IFERROR(Stanje[[#This Row],[Početan broj vodilica]]-Stanje[[#This Row],[Broj montiranih vodilica]]+Stanje[[#This Row],[Broj ulaza vodilica]],"")</f>
        <v>30</v>
      </c>
      <c r="R17" s="25">
        <f>IFERROR(Stanje[[#This Row],[Početan broj vodilica]]-Stanje[[#This Row],[Broj prodanih vodilica]]-Stanje[[#This Row],[Broj montiranih vodilica]]+Stanje[[#This Row],[Broj ulaza vodilica]],"")</f>
        <v>16</v>
      </c>
      <c r="S17" s="45"/>
      <c r="T17" s="25" t="str">
        <f>IFERROR(IF(ISBLANK(Ulaz_izlaz[[#This Row],[Šifra motora]]),"",Ulaz_izlaz[[#This Row],[Šifra motora]]),"")</f>
        <v>M2</v>
      </c>
      <c r="U17" s="10">
        <f>SUMIFS(Upis_stavki!K:K,Upis_stavki!H:H,Stanje[[#This Row],[Šifra motora]],Upis_stavki!J:J,"Ulaz")</f>
        <v>0</v>
      </c>
      <c r="V17" s="25">
        <f>SUMIFS(Upis_stavki!K:K,Upis_stavki!H:H,Stanje[[#This Row],[Šifra motora]],Upis_stavki!J:J,"Montirano")</f>
        <v>0</v>
      </c>
      <c r="W17" s="25">
        <f>SUMIFS(Upis_stavki!K:K,Upis_stavki!H:H,Stanje[[#This Row],[Šifra motora]],Upis_stavki!J:J,"Prodano")</f>
        <v>13</v>
      </c>
      <c r="X17" s="10">
        <f>IFERROR(VLOOKUP(Stanje[[#This Row],[Šifra motora]],baza_motora[],3,FALSE),"")</f>
        <v>19</v>
      </c>
      <c r="Y17" s="10">
        <f>IFERROR(Stanje[[#This Row],[Početan broj motora]]-Stanje[[#This Row],[Broj montiranih motora]]+Stanje[[#This Row],[Broj ulaza motora]],"")</f>
        <v>19</v>
      </c>
      <c r="Z17" s="25">
        <f>IFERROR(Stanje[[#This Row],[Početan broj motora]]-Stanje[[#This Row],[Broj prodanih motora]]-Stanje[[#This Row],[Broj montiranih motora]]+Stanje[[#This Row],[Broj ulaza motora]],"")</f>
        <v>6</v>
      </c>
    </row>
    <row r="18" spans="1:26" x14ac:dyDescent="0.35">
      <c r="A18" s="51">
        <v>44627</v>
      </c>
      <c r="B18" s="25">
        <f>IFERROR(IF(ISBLANK(Ulaz_izlaz[[#This Row],[Šifra proizvoda vrata]]),"",Ulaz_izlaz[[#This Row],[Šifra proizvoda vrata]]),"")</f>
        <v>73</v>
      </c>
      <c r="C18" s="25" t="str">
        <f>IFERROR(VLOOKUP(Stanje[[#This Row],[Šifra Vrata]],Vrata[],2,FALSE),"")</f>
        <v>2750 X 2125</v>
      </c>
      <c r="D18" s="25" t="str">
        <f>IFERROR(VLOOKUP(Stanje[[#This Row],[Šifra Vrata]],Vrata[],3,FALSE),"")</f>
        <v>GOLD OAK</v>
      </c>
      <c r="E18" s="25">
        <f>SUMIFS(Upis_stavki!M:M,Upis_stavki!B:B,Stanje[[#This Row],[Šifra Vrata]],Upis_stavki!J:J,"Ulaz")</f>
        <v>0</v>
      </c>
      <c r="F18" s="10">
        <f>SUMIFS(Upis_stavki!M:M,Upis_stavki!B:B,Stanje[[#This Row],[Šifra Vrata]],Upis_stavki!J:J,"Montirano")</f>
        <v>0</v>
      </c>
      <c r="G18" s="10">
        <f>SUMIFS(Upis_stavki!M:M,Upis_stavki!B:B,Stanje[[#This Row],[Šifra Vrata]],Upis_stavki!J:J,"Prodano")</f>
        <v>1</v>
      </c>
      <c r="H18" s="25">
        <f>IFERROR(VLOOKUP(Stanje[[#This Row],[Šifra Vrata]],Vrata[],4,FALSE),"")</f>
        <v>0</v>
      </c>
      <c r="I18" s="25">
        <f>IFERROR(Stanje[[#This Row],[Početan broj vrata]]-Stanje[[#This Row],[Broj montiranih Vrata]]+Stanje[[#This Row],[Broj ulaza Vrata]],"")</f>
        <v>0</v>
      </c>
      <c r="J18" s="25">
        <f>IFERROR(Stanje[[#This Row],[Početan broj vrata]]-Stanje[[#This Row],[Broj prodanih Vrata]]-Stanje[[#This Row],[Broj montiranih Vrata]]+Stanje[[#This Row],[Broj ulaza Vrata]],"")</f>
        <v>-1</v>
      </c>
      <c r="K18" s="45"/>
      <c r="L18" s="10">
        <f>IFERROR(IF(ISBLANK(Ulaz_izlaz[[#This Row],[Šifra vodilice]]),"",Ulaz_izlaz[[#This Row],[Šifra vodilice]]),"")</f>
        <v>0</v>
      </c>
      <c r="M18" s="10">
        <f>SUMIFS(Upis_stavki!L:L,Upis_stavki!F:F,Stanje[[#This Row],[Šifra vodilica]],Upis_stavki!J:J,"Ulaz")</f>
        <v>0</v>
      </c>
      <c r="N18" s="10">
        <f>SUMIFS(Upis_stavki!L:L,Upis_stavki!F:F,Stanje[[#This Row],[Šifra vodilica]],Upis_stavki!J:J,"Montirano")</f>
        <v>0</v>
      </c>
      <c r="O18" s="25">
        <f>SUMIFS(Upis_stavki!L:L,Upis_stavki!F:F,Stanje[[#This Row],[Šifra vodilica]],Upis_stavki!J:J,"Prodano")</f>
        <v>0</v>
      </c>
      <c r="P18" s="25" t="str">
        <f>IFERROR(VLOOKUP(Stanje[[#This Row],[Šifra vodilica]],baza_vodilica[],3,FALSE),"")</f>
        <v/>
      </c>
      <c r="Q18" s="25" t="str">
        <f>IFERROR(Stanje[[#This Row],[Početan broj vodilica]]-Stanje[[#This Row],[Broj montiranih vodilica]]+Stanje[[#This Row],[Broj ulaza vodilica]],"")</f>
        <v/>
      </c>
      <c r="R18" s="25" t="str">
        <f>IFERROR(Stanje[[#This Row],[Početan broj vodilica]]-Stanje[[#This Row],[Broj prodanih vodilica]]-Stanje[[#This Row],[Broj montiranih vodilica]]+Stanje[[#This Row],[Broj ulaza vodilica]],"")</f>
        <v/>
      </c>
      <c r="S18" s="45"/>
      <c r="T18" s="25">
        <f>IFERROR(IF(ISBLANK(Ulaz_izlaz[[#This Row],[Šifra motora]]),"",Ulaz_izlaz[[#This Row],[Šifra motora]]),"")</f>
        <v>0</v>
      </c>
      <c r="U18" s="10">
        <f>SUMIFS(Upis_stavki!K:K,Upis_stavki!H:H,Stanje[[#This Row],[Šifra motora]],Upis_stavki!J:J,"Ulaz")</f>
        <v>0</v>
      </c>
      <c r="V18" s="25">
        <f>SUMIFS(Upis_stavki!K:K,Upis_stavki!H:H,Stanje[[#This Row],[Šifra motora]],Upis_stavki!J:J,"Montirano")</f>
        <v>0</v>
      </c>
      <c r="W18" s="25">
        <f>SUMIFS(Upis_stavki!K:K,Upis_stavki!H:H,Stanje[[#This Row],[Šifra motora]],Upis_stavki!J:J,"Prodano")</f>
        <v>0</v>
      </c>
      <c r="X18" s="10" t="str">
        <f>IFERROR(VLOOKUP(Stanje[[#This Row],[Šifra motora]],baza_motora[],3,FALSE),"")</f>
        <v/>
      </c>
      <c r="Y18" s="10" t="str">
        <f>IFERROR(Stanje[[#This Row],[Početan broj motora]]-Stanje[[#This Row],[Broj montiranih motora]]+Stanje[[#This Row],[Broj ulaza motora]],"")</f>
        <v/>
      </c>
      <c r="Z18" s="25" t="str">
        <f>IFERROR(Stanje[[#This Row],[Početan broj motora]]-Stanje[[#This Row],[Broj prodanih motora]]-Stanje[[#This Row],[Broj montiranih motora]]+Stanje[[#This Row],[Broj ulaza motora]],"")</f>
        <v/>
      </c>
    </row>
    <row r="19" spans="1:26" x14ac:dyDescent="0.35">
      <c r="A19" s="51">
        <v>44627</v>
      </c>
      <c r="B19" s="25">
        <f>IFERROR(IF(ISBLANK(Ulaz_izlaz[[#This Row],[Šifra proizvoda vrata]]),"",Ulaz_izlaz[[#This Row],[Šifra proizvoda vrata]]),"")</f>
        <v>84</v>
      </c>
      <c r="C19" s="25" t="str">
        <f>IFERROR(VLOOKUP(Stanje[[#This Row],[Šifra Vrata]],Vrata[],2,FALSE),"")</f>
        <v>3000 X 2500</v>
      </c>
      <c r="D19" s="25" t="str">
        <f>IFERROR(VLOOKUP(Stanje[[#This Row],[Šifra Vrata]],Vrata[],3,FALSE),"")</f>
        <v>GOLD OAK</v>
      </c>
      <c r="E19" s="25">
        <f>SUMIFS(Upis_stavki!M:M,Upis_stavki!B:B,Stanje[[#This Row],[Šifra Vrata]],Upis_stavki!J:J,"Ulaz")</f>
        <v>0</v>
      </c>
      <c r="F19" s="10">
        <f>SUMIFS(Upis_stavki!M:M,Upis_stavki!B:B,Stanje[[#This Row],[Šifra Vrata]],Upis_stavki!J:J,"Montirano")</f>
        <v>0</v>
      </c>
      <c r="G19" s="10">
        <f>SUMIFS(Upis_stavki!M:M,Upis_stavki!B:B,Stanje[[#This Row],[Šifra Vrata]],Upis_stavki!J:J,"Prodano")</f>
        <v>2</v>
      </c>
      <c r="H19" s="25">
        <f>IFERROR(VLOOKUP(Stanje[[#This Row],[Šifra Vrata]],Vrata[],4,FALSE),"")</f>
        <v>0</v>
      </c>
      <c r="I19" s="25">
        <f>IFERROR(Stanje[[#This Row],[Početan broj vrata]]-Stanje[[#This Row],[Broj montiranih Vrata]]+Stanje[[#This Row],[Broj ulaza Vrata]],"")</f>
        <v>0</v>
      </c>
      <c r="J19" s="25">
        <f>IFERROR(Stanje[[#This Row],[Početan broj vrata]]-Stanje[[#This Row],[Broj prodanih Vrata]]-Stanje[[#This Row],[Broj montiranih Vrata]]+Stanje[[#This Row],[Broj ulaza Vrata]],"")</f>
        <v>-2</v>
      </c>
      <c r="K19" s="45"/>
      <c r="L19" s="10" t="str">
        <f>IFERROR(IF(ISBLANK(Ulaz_izlaz[[#This Row],[Šifra vodilice]]),"",Ulaz_izlaz[[#This Row],[Šifra vodilice]]),"")</f>
        <v>V2</v>
      </c>
      <c r="M19" s="10">
        <f>SUMIFS(Upis_stavki!L:L,Upis_stavki!F:F,Stanje[[#This Row],[Šifra vodilica]],Upis_stavki!J:J,"Ulaz")</f>
        <v>0</v>
      </c>
      <c r="N19" s="10">
        <f>SUMIFS(Upis_stavki!L:L,Upis_stavki!F:F,Stanje[[#This Row],[Šifra vodilica]],Upis_stavki!J:J,"Montirano")</f>
        <v>0</v>
      </c>
      <c r="O19" s="25">
        <f>SUMIFS(Upis_stavki!L:L,Upis_stavki!F:F,Stanje[[#This Row],[Šifra vodilica]],Upis_stavki!J:J,"Prodano")</f>
        <v>4</v>
      </c>
      <c r="P19" s="25">
        <f>IFERROR(VLOOKUP(Stanje[[#This Row],[Šifra vodilica]],baza_vodilica[],3,FALSE),"")</f>
        <v>18</v>
      </c>
      <c r="Q19" s="25">
        <f>IFERROR(Stanje[[#This Row],[Početan broj vodilica]]-Stanje[[#This Row],[Broj montiranih vodilica]]+Stanje[[#This Row],[Broj ulaza vodilica]],"")</f>
        <v>18</v>
      </c>
      <c r="R19" s="25">
        <f>IFERROR(Stanje[[#This Row],[Početan broj vodilica]]-Stanje[[#This Row],[Broj prodanih vodilica]]-Stanje[[#This Row],[Broj montiranih vodilica]]+Stanje[[#This Row],[Broj ulaza vodilica]],"")</f>
        <v>14</v>
      </c>
      <c r="S19" s="45"/>
      <c r="T19" s="25" t="str">
        <f>IFERROR(IF(ISBLANK(Ulaz_izlaz[[#This Row],[Šifra motora]]),"",Ulaz_izlaz[[#This Row],[Šifra motora]]),"")</f>
        <v>M2</v>
      </c>
      <c r="U19" s="10">
        <f>SUMIFS(Upis_stavki!K:K,Upis_stavki!H:H,Stanje[[#This Row],[Šifra motora]],Upis_stavki!J:J,"Ulaz")</f>
        <v>0</v>
      </c>
      <c r="V19" s="25">
        <f>SUMIFS(Upis_stavki!K:K,Upis_stavki!H:H,Stanje[[#This Row],[Šifra motora]],Upis_stavki!J:J,"Montirano")</f>
        <v>0</v>
      </c>
      <c r="W19" s="25">
        <f>SUMIFS(Upis_stavki!K:K,Upis_stavki!H:H,Stanje[[#This Row],[Šifra motora]],Upis_stavki!J:J,"Prodano")</f>
        <v>13</v>
      </c>
      <c r="X19" s="10">
        <f>IFERROR(VLOOKUP(Stanje[[#This Row],[Šifra motora]],baza_motora[],3,FALSE),"")</f>
        <v>19</v>
      </c>
      <c r="Y19" s="10">
        <f>IFERROR(Stanje[[#This Row],[Početan broj motora]]-Stanje[[#This Row],[Broj montiranih motora]]+Stanje[[#This Row],[Broj ulaza motora]],"")</f>
        <v>19</v>
      </c>
      <c r="Z19" s="25">
        <f>IFERROR(Stanje[[#This Row],[Početan broj motora]]-Stanje[[#This Row],[Broj prodanih motora]]-Stanje[[#This Row],[Broj montiranih motora]]+Stanje[[#This Row],[Broj ulaza motora]],"")</f>
        <v>6</v>
      </c>
    </row>
    <row r="20" spans="1:26" x14ac:dyDescent="0.35">
      <c r="A20" s="51">
        <v>44628</v>
      </c>
      <c r="B20" s="25">
        <f>IFERROR(IF(ISBLANK(Ulaz_izlaz[[#This Row],[Šifra proizvoda vrata]]),"",Ulaz_izlaz[[#This Row],[Šifra proizvoda vrata]]),"")</f>
        <v>77</v>
      </c>
      <c r="C20" s="25" t="str">
        <f>IFERROR(VLOOKUP(Stanje[[#This Row],[Šifra Vrata]],Vrata[],2,FALSE),"")</f>
        <v>2750 X 2250</v>
      </c>
      <c r="D20" s="25" t="str">
        <f>IFERROR(VLOOKUP(Stanje[[#This Row],[Šifra Vrata]],Vrata[],3,FALSE),"")</f>
        <v>GOLD OAK</v>
      </c>
      <c r="E20" s="25">
        <f>SUMIFS(Upis_stavki!M:M,Upis_stavki!B:B,Stanje[[#This Row],[Šifra Vrata]],Upis_stavki!J:J,"Ulaz")</f>
        <v>0</v>
      </c>
      <c r="F20" s="10">
        <f>SUMIFS(Upis_stavki!M:M,Upis_stavki!B:B,Stanje[[#This Row],[Šifra Vrata]],Upis_stavki!J:J,"Montirano")</f>
        <v>0</v>
      </c>
      <c r="G20" s="10">
        <f>SUMIFS(Upis_stavki!M:M,Upis_stavki!B:B,Stanje[[#This Row],[Šifra Vrata]],Upis_stavki!J:J,"Prodano")</f>
        <v>1</v>
      </c>
      <c r="H20" s="25">
        <f>IFERROR(VLOOKUP(Stanje[[#This Row],[Šifra Vrata]],Vrata[],4,FALSE),"")</f>
        <v>0</v>
      </c>
      <c r="I20" s="25">
        <f>IFERROR(Stanje[[#This Row],[Početan broj vrata]]-Stanje[[#This Row],[Broj montiranih Vrata]]+Stanje[[#This Row],[Broj ulaza Vrata]],"")</f>
        <v>0</v>
      </c>
      <c r="J20" s="25">
        <f>IFERROR(Stanje[[#This Row],[Početan broj vrata]]-Stanje[[#This Row],[Broj prodanih Vrata]]-Stanje[[#This Row],[Broj montiranih Vrata]]+Stanje[[#This Row],[Broj ulaza Vrata]],"")</f>
        <v>-1</v>
      </c>
      <c r="K20" s="45"/>
      <c r="L20" s="10" t="str">
        <f>IFERROR(IF(ISBLANK(Ulaz_izlaz[[#This Row],[Šifra vodilice]]),"",Ulaz_izlaz[[#This Row],[Šifra vodilice]]),"")</f>
        <v/>
      </c>
      <c r="M20" s="10">
        <f>SUMIFS(Upis_stavki!L:L,Upis_stavki!F:F,Stanje[[#This Row],[Šifra vodilica]],Upis_stavki!J:J,"Ulaz")</f>
        <v>0</v>
      </c>
      <c r="N20" s="10">
        <f>SUMIFS(Upis_stavki!L:L,Upis_stavki!F:F,Stanje[[#This Row],[Šifra vodilica]],Upis_stavki!J:J,"Montirano")</f>
        <v>0</v>
      </c>
      <c r="O20" s="25">
        <f>SUMIFS(Upis_stavki!L:L,Upis_stavki!F:F,Stanje[[#This Row],[Šifra vodilica]],Upis_stavki!J:J,"Prodano")</f>
        <v>0</v>
      </c>
      <c r="P20" s="25" t="str">
        <f>IFERROR(VLOOKUP(Stanje[[#This Row],[Šifra vodilica]],baza_vodilica[],3,FALSE),"")</f>
        <v/>
      </c>
      <c r="Q20" s="25" t="str">
        <f>IFERROR(Stanje[[#This Row],[Početan broj vodilica]]-Stanje[[#This Row],[Broj montiranih vodilica]]+Stanje[[#This Row],[Broj ulaza vodilica]],"")</f>
        <v/>
      </c>
      <c r="R20" s="25" t="str">
        <f>IFERROR(Stanje[[#This Row],[Početan broj vodilica]]-Stanje[[#This Row],[Broj prodanih vodilica]]-Stanje[[#This Row],[Broj montiranih vodilica]]+Stanje[[#This Row],[Broj ulaza vodilica]],"")</f>
        <v/>
      </c>
      <c r="S20" s="45"/>
      <c r="T20" s="25" t="str">
        <f>IFERROR(IF(ISBLANK(Ulaz_izlaz[[#This Row],[Šifra motora]]),"",Ulaz_izlaz[[#This Row],[Šifra motora]]),"")</f>
        <v>M1</v>
      </c>
      <c r="U20" s="10">
        <f>SUMIFS(Upis_stavki!K:K,Upis_stavki!H:H,Stanje[[#This Row],[Šifra motora]],Upis_stavki!J:J,"Ulaz")</f>
        <v>0</v>
      </c>
      <c r="V20" s="25">
        <f>SUMIFS(Upis_stavki!K:K,Upis_stavki!H:H,Stanje[[#This Row],[Šifra motora]],Upis_stavki!J:J,"Montirano")</f>
        <v>1</v>
      </c>
      <c r="W20" s="25">
        <f>SUMIFS(Upis_stavki!K:K,Upis_stavki!H:H,Stanje[[#This Row],[Šifra motora]],Upis_stavki!J:J,"Prodano")</f>
        <v>36</v>
      </c>
      <c r="X20" s="10">
        <f>IFERROR(VLOOKUP(Stanje[[#This Row],[Šifra motora]],baza_motora[],3,FALSE),"")</f>
        <v>63</v>
      </c>
      <c r="Y20" s="10">
        <f>IFERROR(Stanje[[#This Row],[Početan broj motora]]-Stanje[[#This Row],[Broj montiranih motora]]+Stanje[[#This Row],[Broj ulaza motora]],"")</f>
        <v>62</v>
      </c>
      <c r="Z20" s="25">
        <f>IFERROR(Stanje[[#This Row],[Početan broj motora]]-Stanje[[#This Row],[Broj prodanih motora]]-Stanje[[#This Row],[Broj montiranih motora]]+Stanje[[#This Row],[Broj ulaza motora]],"")</f>
        <v>26</v>
      </c>
    </row>
    <row r="21" spans="1:26" x14ac:dyDescent="0.35">
      <c r="A21" s="51">
        <v>44628</v>
      </c>
      <c r="B21" s="25">
        <f>IFERROR(IF(ISBLANK(Ulaz_izlaz[[#This Row],[Šifra proizvoda vrata]]),"",Ulaz_izlaz[[#This Row],[Šifra proizvoda vrata]]),"")</f>
        <v>57</v>
      </c>
      <c r="C21" s="25" t="str">
        <f>IFERROR(VLOOKUP(Stanje[[#This Row],[Šifra Vrata]],Vrata[],2,FALSE),"")</f>
        <v>3000 X 2125</v>
      </c>
      <c r="D21" s="25" t="str">
        <f>IFERROR(VLOOKUP(Stanje[[#This Row],[Šifra Vrata]],Vrata[],3,FALSE),"")</f>
        <v>DARK OAK</v>
      </c>
      <c r="E21" s="25">
        <f>SUMIFS(Upis_stavki!M:M,Upis_stavki!B:B,Stanje[[#This Row],[Šifra Vrata]],Upis_stavki!J:J,"Ulaz")</f>
        <v>0</v>
      </c>
      <c r="F21" s="10">
        <f>SUMIFS(Upis_stavki!M:M,Upis_stavki!B:B,Stanje[[#This Row],[Šifra Vrata]],Upis_stavki!J:J,"Montirano")</f>
        <v>0</v>
      </c>
      <c r="G21" s="10">
        <f>SUMIFS(Upis_stavki!M:M,Upis_stavki!B:B,Stanje[[#This Row],[Šifra Vrata]],Upis_stavki!J:J,"Prodano")</f>
        <v>3</v>
      </c>
      <c r="H21" s="25">
        <f>IFERROR(VLOOKUP(Stanje[[#This Row],[Šifra Vrata]],Vrata[],4,FALSE),"")</f>
        <v>0</v>
      </c>
      <c r="I21" s="25">
        <f>IFERROR(Stanje[[#This Row],[Početan broj vrata]]-Stanje[[#This Row],[Broj montiranih Vrata]]+Stanje[[#This Row],[Broj ulaza Vrata]],"")</f>
        <v>0</v>
      </c>
      <c r="J21" s="25">
        <f>IFERROR(Stanje[[#This Row],[Početan broj vrata]]-Stanje[[#This Row],[Broj prodanih Vrata]]-Stanje[[#This Row],[Broj montiranih Vrata]]+Stanje[[#This Row],[Broj ulaza Vrata]],"")</f>
        <v>-3</v>
      </c>
      <c r="K21" s="45"/>
      <c r="L21" s="10" t="str">
        <f>IFERROR(IF(ISBLANK(Ulaz_izlaz[[#This Row],[Šifra vodilice]]),"",Ulaz_izlaz[[#This Row],[Šifra vodilice]]),"")</f>
        <v>V1</v>
      </c>
      <c r="M21" s="10">
        <f>SUMIFS(Upis_stavki!L:L,Upis_stavki!F:F,Stanje[[#This Row],[Šifra vodilica]],Upis_stavki!J:J,"Ulaz")</f>
        <v>0</v>
      </c>
      <c r="N21" s="10">
        <f>SUMIFS(Upis_stavki!L:L,Upis_stavki!F:F,Stanje[[#This Row],[Šifra vodilica]],Upis_stavki!J:J,"Montirano")</f>
        <v>1</v>
      </c>
      <c r="O21" s="25">
        <f>SUMIFS(Upis_stavki!L:L,Upis_stavki!F:F,Stanje[[#This Row],[Šifra vodilica]],Upis_stavki!J:J,"Prodano")</f>
        <v>14</v>
      </c>
      <c r="P21" s="25">
        <f>IFERROR(VLOOKUP(Stanje[[#This Row],[Šifra vodilica]],baza_vodilica[],3,FALSE),"")</f>
        <v>31</v>
      </c>
      <c r="Q21" s="25">
        <f>IFERROR(Stanje[[#This Row],[Početan broj vodilica]]-Stanje[[#This Row],[Broj montiranih vodilica]]+Stanje[[#This Row],[Broj ulaza vodilica]],"")</f>
        <v>30</v>
      </c>
      <c r="R21" s="25">
        <f>IFERROR(Stanje[[#This Row],[Početan broj vodilica]]-Stanje[[#This Row],[Broj prodanih vodilica]]-Stanje[[#This Row],[Broj montiranih vodilica]]+Stanje[[#This Row],[Broj ulaza vodilica]],"")</f>
        <v>16</v>
      </c>
      <c r="S21" s="45"/>
      <c r="T21" s="25" t="str">
        <f>IFERROR(IF(ISBLANK(Ulaz_izlaz[[#This Row],[Šifra motora]]),"",Ulaz_izlaz[[#This Row],[Šifra motora]]),"")</f>
        <v>M5</v>
      </c>
      <c r="U21" s="10">
        <f>SUMIFS(Upis_stavki!K:K,Upis_stavki!H:H,Stanje[[#This Row],[Šifra motora]],Upis_stavki!J:J,"Ulaz")</f>
        <v>0</v>
      </c>
      <c r="V21" s="25">
        <f>SUMIFS(Upis_stavki!K:K,Upis_stavki!H:H,Stanje[[#This Row],[Šifra motora]],Upis_stavki!J:J,"Montirano")</f>
        <v>1</v>
      </c>
      <c r="W21" s="25">
        <f>SUMIFS(Upis_stavki!K:K,Upis_stavki!H:H,Stanje[[#This Row],[Šifra motora]],Upis_stavki!J:J,"Prodano")</f>
        <v>4</v>
      </c>
      <c r="X21" s="10">
        <f>IFERROR(VLOOKUP(Stanje[[#This Row],[Šifra motora]],baza_motora[],3,FALSE),"")</f>
        <v>22</v>
      </c>
      <c r="Y21" s="10">
        <f>IFERROR(Stanje[[#This Row],[Početan broj motora]]-Stanje[[#This Row],[Broj montiranih motora]]+Stanje[[#This Row],[Broj ulaza motora]],"")</f>
        <v>21</v>
      </c>
      <c r="Z21" s="25">
        <f>IFERROR(Stanje[[#This Row],[Početan broj motora]]-Stanje[[#This Row],[Broj prodanih motora]]-Stanje[[#This Row],[Broj montiranih motora]]+Stanje[[#This Row],[Broj ulaza motora]],"")</f>
        <v>17</v>
      </c>
    </row>
    <row r="22" spans="1:26" x14ac:dyDescent="0.35">
      <c r="A22" s="51">
        <v>44628</v>
      </c>
      <c r="B22" s="25">
        <f>IFERROR(IF(ISBLANK(Ulaz_izlaz[[#This Row],[Šifra proizvoda vrata]]),"",Ulaz_izlaz[[#This Row],[Šifra proizvoda vrata]]),"")</f>
        <v>42</v>
      </c>
      <c r="C22" s="25" t="str">
        <f>IFERROR(VLOOKUP(Stanje[[#This Row],[Šifra Vrata]],Vrata[],2,FALSE),"")</f>
        <v>2500 X 2250</v>
      </c>
      <c r="D22" s="25" t="str">
        <f>IFERROR(VLOOKUP(Stanje[[#This Row],[Šifra Vrata]],Vrata[],3,FALSE),"")</f>
        <v>RAL 7016 PLAN</v>
      </c>
      <c r="E22" s="25">
        <f>SUMIFS(Upis_stavki!M:M,Upis_stavki!B:B,Stanje[[#This Row],[Šifra Vrata]],Upis_stavki!J:J,"Ulaz")</f>
        <v>0</v>
      </c>
      <c r="F22" s="10">
        <f>SUMIFS(Upis_stavki!M:M,Upis_stavki!B:B,Stanje[[#This Row],[Šifra Vrata]],Upis_stavki!J:J,"Montirano")</f>
        <v>0</v>
      </c>
      <c r="G22" s="10">
        <f>SUMIFS(Upis_stavki!M:M,Upis_stavki!B:B,Stanje[[#This Row],[Šifra Vrata]],Upis_stavki!J:J,"Prodano")</f>
        <v>1</v>
      </c>
      <c r="H22" s="25">
        <f>IFERROR(VLOOKUP(Stanje[[#This Row],[Šifra Vrata]],Vrata[],4,FALSE),"")</f>
        <v>1</v>
      </c>
      <c r="I22" s="25">
        <f>IFERROR(Stanje[[#This Row],[Početan broj vrata]]-Stanje[[#This Row],[Broj montiranih Vrata]]+Stanje[[#This Row],[Broj ulaza Vrata]],"")</f>
        <v>1</v>
      </c>
      <c r="J22" s="25">
        <f>IFERROR(Stanje[[#This Row],[Početan broj vrata]]-Stanje[[#This Row],[Broj prodanih Vrata]]-Stanje[[#This Row],[Broj montiranih Vrata]]+Stanje[[#This Row],[Broj ulaza Vrata]],"")</f>
        <v>0</v>
      </c>
      <c r="K22" s="45"/>
      <c r="L22" s="10" t="str">
        <f>IFERROR(IF(ISBLANK(Ulaz_izlaz[[#This Row],[Šifra vodilice]]),"",Ulaz_izlaz[[#This Row],[Šifra vodilice]]),"")</f>
        <v>V2</v>
      </c>
      <c r="M22" s="10">
        <f>SUMIFS(Upis_stavki!L:L,Upis_stavki!F:F,Stanje[[#This Row],[Šifra vodilica]],Upis_stavki!J:J,"Ulaz")</f>
        <v>0</v>
      </c>
      <c r="N22" s="10">
        <f>SUMIFS(Upis_stavki!L:L,Upis_stavki!F:F,Stanje[[#This Row],[Šifra vodilica]],Upis_stavki!J:J,"Montirano")</f>
        <v>0</v>
      </c>
      <c r="O22" s="25">
        <f>SUMIFS(Upis_stavki!L:L,Upis_stavki!F:F,Stanje[[#This Row],[Šifra vodilica]],Upis_stavki!J:J,"Prodano")</f>
        <v>4</v>
      </c>
      <c r="P22" s="25">
        <f>IFERROR(VLOOKUP(Stanje[[#This Row],[Šifra vodilica]],baza_vodilica[],3,FALSE),"")</f>
        <v>18</v>
      </c>
      <c r="Q22" s="25">
        <f>IFERROR(Stanje[[#This Row],[Početan broj vodilica]]-Stanje[[#This Row],[Broj montiranih vodilica]]+Stanje[[#This Row],[Broj ulaza vodilica]],"")</f>
        <v>18</v>
      </c>
      <c r="R22" s="25">
        <f>IFERROR(Stanje[[#This Row],[Početan broj vodilica]]-Stanje[[#This Row],[Broj prodanih vodilica]]-Stanje[[#This Row],[Broj montiranih vodilica]]+Stanje[[#This Row],[Broj ulaza vodilica]],"")</f>
        <v>14</v>
      </c>
      <c r="S22" s="45"/>
      <c r="T22" s="25" t="str">
        <f>IFERROR(IF(ISBLANK(Ulaz_izlaz[[#This Row],[Šifra motora]]),"",Ulaz_izlaz[[#This Row],[Šifra motora]]),"")</f>
        <v>M5</v>
      </c>
      <c r="U22" s="10">
        <f>SUMIFS(Upis_stavki!K:K,Upis_stavki!H:H,Stanje[[#This Row],[Šifra motora]],Upis_stavki!J:J,"Ulaz")</f>
        <v>0</v>
      </c>
      <c r="V22" s="25">
        <f>SUMIFS(Upis_stavki!K:K,Upis_stavki!H:H,Stanje[[#This Row],[Šifra motora]],Upis_stavki!J:J,"Montirano")</f>
        <v>1</v>
      </c>
      <c r="W22" s="25">
        <f>SUMIFS(Upis_stavki!K:K,Upis_stavki!H:H,Stanje[[#This Row],[Šifra motora]],Upis_stavki!J:J,"Prodano")</f>
        <v>4</v>
      </c>
      <c r="X22" s="10">
        <f>IFERROR(VLOOKUP(Stanje[[#This Row],[Šifra motora]],baza_motora[],3,FALSE),"")</f>
        <v>22</v>
      </c>
      <c r="Y22" s="10">
        <f>IFERROR(Stanje[[#This Row],[Početan broj motora]]-Stanje[[#This Row],[Broj montiranih motora]]+Stanje[[#This Row],[Broj ulaza motora]],"")</f>
        <v>21</v>
      </c>
      <c r="Z22" s="25">
        <f>IFERROR(Stanje[[#This Row],[Početan broj motora]]-Stanje[[#This Row],[Broj prodanih motora]]-Stanje[[#This Row],[Broj montiranih motora]]+Stanje[[#This Row],[Broj ulaza motora]],"")</f>
        <v>17</v>
      </c>
    </row>
    <row r="23" spans="1:26" x14ac:dyDescent="0.35">
      <c r="A23" s="51">
        <v>44628</v>
      </c>
      <c r="B23" s="25">
        <f>IFERROR(IF(ISBLANK(Ulaz_izlaz[[#This Row],[Šifra proizvoda vrata]]),"",Ulaz_izlaz[[#This Row],[Šifra proizvoda vrata]]),"")</f>
        <v>4</v>
      </c>
      <c r="C23" s="25" t="str">
        <f>IFERROR(VLOOKUP(Stanje[[#This Row],[Šifra Vrata]],Vrata[],2,FALSE),"")</f>
        <v>2500 X 2125</v>
      </c>
      <c r="D23" s="25" t="str">
        <f>IFERROR(VLOOKUP(Stanje[[#This Row],[Šifra Vrata]],Vrata[],3,FALSE),"")</f>
        <v>RAL 9016 - WOOD</v>
      </c>
      <c r="E23" s="25">
        <f>SUMIFS(Upis_stavki!M:M,Upis_stavki!B:B,Stanje[[#This Row],[Šifra Vrata]],Upis_stavki!J:J,"Ulaz")</f>
        <v>0</v>
      </c>
      <c r="F23" s="10">
        <f>SUMIFS(Upis_stavki!M:M,Upis_stavki!B:B,Stanje[[#This Row],[Šifra Vrata]],Upis_stavki!J:J,"Montirano")</f>
        <v>0</v>
      </c>
      <c r="G23" s="10">
        <f>SUMIFS(Upis_stavki!M:M,Upis_stavki!B:B,Stanje[[#This Row],[Šifra Vrata]],Upis_stavki!J:J,"Prodano")</f>
        <v>13</v>
      </c>
      <c r="H23" s="25">
        <f>IFERROR(VLOOKUP(Stanje[[#This Row],[Šifra Vrata]],Vrata[],4,FALSE),"")</f>
        <v>13</v>
      </c>
      <c r="I23" s="25">
        <f>IFERROR(Stanje[[#This Row],[Početan broj vrata]]-Stanje[[#This Row],[Broj montiranih Vrata]]+Stanje[[#This Row],[Broj ulaza Vrata]],"")</f>
        <v>13</v>
      </c>
      <c r="J23" s="25">
        <f>IFERROR(Stanje[[#This Row],[Početan broj vrata]]-Stanje[[#This Row],[Broj prodanih Vrata]]-Stanje[[#This Row],[Broj montiranih Vrata]]+Stanje[[#This Row],[Broj ulaza Vrata]],"")</f>
        <v>0</v>
      </c>
      <c r="K23" s="45"/>
      <c r="L23" s="10" t="str">
        <f>IFERROR(IF(ISBLANK(Ulaz_izlaz[[#This Row],[Šifra vodilice]]),"",Ulaz_izlaz[[#This Row],[Šifra vodilice]]),"")</f>
        <v/>
      </c>
      <c r="M23" s="10">
        <f>SUMIFS(Upis_stavki!L:L,Upis_stavki!F:F,Stanje[[#This Row],[Šifra vodilica]],Upis_stavki!J:J,"Ulaz")</f>
        <v>0</v>
      </c>
      <c r="N23" s="10">
        <f>SUMIFS(Upis_stavki!L:L,Upis_stavki!F:F,Stanje[[#This Row],[Šifra vodilica]],Upis_stavki!J:J,"Montirano")</f>
        <v>0</v>
      </c>
      <c r="O23" s="25">
        <f>SUMIFS(Upis_stavki!L:L,Upis_stavki!F:F,Stanje[[#This Row],[Šifra vodilica]],Upis_stavki!J:J,"Prodano")</f>
        <v>0</v>
      </c>
      <c r="P23" s="25" t="str">
        <f>IFERROR(VLOOKUP(Stanje[[#This Row],[Šifra vodilica]],baza_vodilica[],3,FALSE),"")</f>
        <v/>
      </c>
      <c r="Q23" s="25" t="str">
        <f>IFERROR(Stanje[[#This Row],[Početan broj vodilica]]-Stanje[[#This Row],[Broj montiranih vodilica]]+Stanje[[#This Row],[Broj ulaza vodilica]],"")</f>
        <v/>
      </c>
      <c r="R23" s="25" t="str">
        <f>IFERROR(Stanje[[#This Row],[Početan broj vodilica]]-Stanje[[#This Row],[Broj prodanih vodilica]]-Stanje[[#This Row],[Broj montiranih vodilica]]+Stanje[[#This Row],[Broj ulaza vodilica]],"")</f>
        <v/>
      </c>
      <c r="S23" s="45"/>
      <c r="T23" s="25" t="str">
        <f>IFERROR(IF(ISBLANK(Ulaz_izlaz[[#This Row],[Šifra motora]]),"",Ulaz_izlaz[[#This Row],[Šifra motora]]),"")</f>
        <v>M1</v>
      </c>
      <c r="U23" s="10">
        <f>SUMIFS(Upis_stavki!K:K,Upis_stavki!H:H,Stanje[[#This Row],[Šifra motora]],Upis_stavki!J:J,"Ulaz")</f>
        <v>0</v>
      </c>
      <c r="V23" s="25">
        <f>SUMIFS(Upis_stavki!K:K,Upis_stavki!H:H,Stanje[[#This Row],[Šifra motora]],Upis_stavki!J:J,"Montirano")</f>
        <v>1</v>
      </c>
      <c r="W23" s="25">
        <f>SUMIFS(Upis_stavki!K:K,Upis_stavki!H:H,Stanje[[#This Row],[Šifra motora]],Upis_stavki!J:J,"Prodano")</f>
        <v>36</v>
      </c>
      <c r="X23" s="10">
        <f>IFERROR(VLOOKUP(Stanje[[#This Row],[Šifra motora]],baza_motora[],3,FALSE),"")</f>
        <v>63</v>
      </c>
      <c r="Y23" s="10">
        <f>IFERROR(Stanje[[#This Row],[Početan broj motora]]-Stanje[[#This Row],[Broj montiranih motora]]+Stanje[[#This Row],[Broj ulaza motora]],"")</f>
        <v>62</v>
      </c>
      <c r="Z23" s="25">
        <f>IFERROR(Stanje[[#This Row],[Početan broj motora]]-Stanje[[#This Row],[Broj prodanih motora]]-Stanje[[#This Row],[Broj montiranih motora]]+Stanje[[#This Row],[Broj ulaza motora]],"")</f>
        <v>26</v>
      </c>
    </row>
    <row r="24" spans="1:26" x14ac:dyDescent="0.35">
      <c r="A24" s="51">
        <v>44628</v>
      </c>
      <c r="B24" s="25">
        <f>IFERROR(IF(ISBLANK(Ulaz_izlaz[[#This Row],[Šifra proizvoda vrata]]),"",Ulaz_izlaz[[#This Row],[Šifra proizvoda vrata]]),"")</f>
        <v>6</v>
      </c>
      <c r="C24" s="25" t="str">
        <f>IFERROR(VLOOKUP(Stanje[[#This Row],[Šifra Vrata]],Vrata[],2,FALSE),"")</f>
        <v>3000 X 2125</v>
      </c>
      <c r="D24" s="25" t="str">
        <f>IFERROR(VLOOKUP(Stanje[[#This Row],[Šifra Vrata]],Vrata[],3,FALSE),"")</f>
        <v>RAL 9016 - WOOD</v>
      </c>
      <c r="E24" s="25">
        <f>SUMIFS(Upis_stavki!M:M,Upis_stavki!B:B,Stanje[[#This Row],[Šifra Vrata]],Upis_stavki!J:J,"Ulaz")</f>
        <v>0</v>
      </c>
      <c r="F24" s="10">
        <f>SUMIFS(Upis_stavki!M:M,Upis_stavki!B:B,Stanje[[#This Row],[Šifra Vrata]],Upis_stavki!J:J,"Montirano")</f>
        <v>0</v>
      </c>
      <c r="G24" s="10">
        <f>SUMIFS(Upis_stavki!M:M,Upis_stavki!B:B,Stanje[[#This Row],[Šifra Vrata]],Upis_stavki!J:J,"Prodano")</f>
        <v>1</v>
      </c>
      <c r="H24" s="25">
        <f>IFERROR(VLOOKUP(Stanje[[#This Row],[Šifra Vrata]],Vrata[],4,FALSE),"")</f>
        <v>7</v>
      </c>
      <c r="I24" s="25">
        <f>IFERROR(Stanje[[#This Row],[Početan broj vrata]]-Stanje[[#This Row],[Broj montiranih Vrata]]+Stanje[[#This Row],[Broj ulaza Vrata]],"")</f>
        <v>7</v>
      </c>
      <c r="J24" s="25">
        <f>IFERROR(Stanje[[#This Row],[Početan broj vrata]]-Stanje[[#This Row],[Broj prodanih Vrata]]-Stanje[[#This Row],[Broj montiranih Vrata]]+Stanje[[#This Row],[Broj ulaza Vrata]],"")</f>
        <v>6</v>
      </c>
      <c r="K24" s="45"/>
      <c r="L24" s="10" t="str">
        <f>IFERROR(IF(ISBLANK(Ulaz_izlaz[[#This Row],[Šifra vodilice]]),"",Ulaz_izlaz[[#This Row],[Šifra vodilice]]),"")</f>
        <v/>
      </c>
      <c r="M24" s="10">
        <f>SUMIFS(Upis_stavki!L:L,Upis_stavki!F:F,Stanje[[#This Row],[Šifra vodilica]],Upis_stavki!J:J,"Ulaz")</f>
        <v>0</v>
      </c>
      <c r="N24" s="10">
        <f>SUMIFS(Upis_stavki!L:L,Upis_stavki!F:F,Stanje[[#This Row],[Šifra vodilica]],Upis_stavki!J:J,"Montirano")</f>
        <v>0</v>
      </c>
      <c r="O24" s="25">
        <f>SUMIFS(Upis_stavki!L:L,Upis_stavki!F:F,Stanje[[#This Row],[Šifra vodilica]],Upis_stavki!J:J,"Prodano")</f>
        <v>0</v>
      </c>
      <c r="P24" s="25" t="str">
        <f>IFERROR(VLOOKUP(Stanje[[#This Row],[Šifra vodilica]],baza_vodilica[],3,FALSE),"")</f>
        <v/>
      </c>
      <c r="Q24" s="25" t="str">
        <f>IFERROR(Stanje[[#This Row],[Početan broj vodilica]]-Stanje[[#This Row],[Broj montiranih vodilica]]+Stanje[[#This Row],[Broj ulaza vodilica]],"")</f>
        <v/>
      </c>
      <c r="R24" s="25" t="str">
        <f>IFERROR(Stanje[[#This Row],[Početan broj vodilica]]-Stanje[[#This Row],[Broj prodanih vodilica]]-Stanje[[#This Row],[Broj montiranih vodilica]]+Stanje[[#This Row],[Broj ulaza vodilica]],"")</f>
        <v/>
      </c>
      <c r="S24" s="45"/>
      <c r="T24" s="25" t="str">
        <f>IFERROR(IF(ISBLANK(Ulaz_izlaz[[#This Row],[Šifra motora]]),"",Ulaz_izlaz[[#This Row],[Šifra motora]]),"")</f>
        <v>M1</v>
      </c>
      <c r="U24" s="10">
        <f>SUMIFS(Upis_stavki!K:K,Upis_stavki!H:H,Stanje[[#This Row],[Šifra motora]],Upis_stavki!J:J,"Ulaz")</f>
        <v>0</v>
      </c>
      <c r="V24" s="25">
        <f>SUMIFS(Upis_stavki!K:K,Upis_stavki!H:H,Stanje[[#This Row],[Šifra motora]],Upis_stavki!J:J,"Montirano")</f>
        <v>1</v>
      </c>
      <c r="W24" s="25">
        <f>SUMIFS(Upis_stavki!K:K,Upis_stavki!H:H,Stanje[[#This Row],[Šifra motora]],Upis_stavki!J:J,"Prodano")</f>
        <v>36</v>
      </c>
      <c r="X24" s="10">
        <f>IFERROR(VLOOKUP(Stanje[[#This Row],[Šifra motora]],baza_motora[],3,FALSE),"")</f>
        <v>63</v>
      </c>
      <c r="Y24" s="10">
        <f>IFERROR(Stanje[[#This Row],[Početan broj motora]]-Stanje[[#This Row],[Broj montiranih motora]]+Stanje[[#This Row],[Broj ulaza motora]],"")</f>
        <v>62</v>
      </c>
      <c r="Z24" s="25">
        <f>IFERROR(Stanje[[#This Row],[Početan broj motora]]-Stanje[[#This Row],[Broj prodanih motora]]-Stanje[[#This Row],[Broj montiranih motora]]+Stanje[[#This Row],[Broj ulaza motora]],"")</f>
        <v>26</v>
      </c>
    </row>
    <row r="25" spans="1:26" x14ac:dyDescent="0.35">
      <c r="A25" s="51">
        <v>44628</v>
      </c>
      <c r="B25" s="25">
        <f>IFERROR(IF(ISBLANK(Ulaz_izlaz[[#This Row],[Šifra proizvoda vrata]]),"",Ulaz_izlaz[[#This Row],[Šifra proizvoda vrata]]),"")</f>
        <v>47</v>
      </c>
      <c r="C25" s="25" t="str">
        <f>IFERROR(VLOOKUP(Stanje[[#This Row],[Šifra Vrata]],Vrata[],2,FALSE),"")</f>
        <v>5000 X 2250</v>
      </c>
      <c r="D25" s="25" t="str">
        <f>IFERROR(VLOOKUP(Stanje[[#This Row],[Šifra Vrata]],Vrata[],3,FALSE),"")</f>
        <v>RAL 7016 PLAN</v>
      </c>
      <c r="E25" s="25">
        <f>SUMIFS(Upis_stavki!M:M,Upis_stavki!B:B,Stanje[[#This Row],[Šifra Vrata]],Upis_stavki!J:J,"Ulaz")</f>
        <v>0</v>
      </c>
      <c r="F25" s="10">
        <f>SUMIFS(Upis_stavki!M:M,Upis_stavki!B:B,Stanje[[#This Row],[Šifra Vrata]],Upis_stavki!J:J,"Montirano")</f>
        <v>0</v>
      </c>
      <c r="G25" s="10">
        <f>SUMIFS(Upis_stavki!M:M,Upis_stavki!B:B,Stanje[[#This Row],[Šifra Vrata]],Upis_stavki!J:J,"Prodano")</f>
        <v>4</v>
      </c>
      <c r="H25" s="25">
        <f>IFERROR(VLOOKUP(Stanje[[#This Row],[Šifra Vrata]],Vrata[],4,FALSE),"")</f>
        <v>11</v>
      </c>
      <c r="I25" s="25">
        <f>IFERROR(Stanje[[#This Row],[Početan broj vrata]]-Stanje[[#This Row],[Broj montiranih Vrata]]+Stanje[[#This Row],[Broj ulaza Vrata]],"")</f>
        <v>11</v>
      </c>
      <c r="J25" s="25">
        <f>IFERROR(Stanje[[#This Row],[Početan broj vrata]]-Stanje[[#This Row],[Broj prodanih Vrata]]-Stanje[[#This Row],[Broj montiranih Vrata]]+Stanje[[#This Row],[Broj ulaza Vrata]],"")</f>
        <v>7</v>
      </c>
      <c r="K25" s="45"/>
      <c r="L25" s="10" t="str">
        <f>IFERROR(IF(ISBLANK(Ulaz_izlaz[[#This Row],[Šifra vodilice]]),"",Ulaz_izlaz[[#This Row],[Šifra vodilice]]),"")</f>
        <v>V1</v>
      </c>
      <c r="M25" s="10">
        <f>SUMIFS(Upis_stavki!L:L,Upis_stavki!F:F,Stanje[[#This Row],[Šifra vodilica]],Upis_stavki!J:J,"Ulaz")</f>
        <v>0</v>
      </c>
      <c r="N25" s="10">
        <f>SUMIFS(Upis_stavki!L:L,Upis_stavki!F:F,Stanje[[#This Row],[Šifra vodilica]],Upis_stavki!J:J,"Montirano")</f>
        <v>1</v>
      </c>
      <c r="O25" s="25">
        <f>SUMIFS(Upis_stavki!L:L,Upis_stavki!F:F,Stanje[[#This Row],[Šifra vodilica]],Upis_stavki!J:J,"Prodano")</f>
        <v>14</v>
      </c>
      <c r="P25" s="25">
        <f>IFERROR(VLOOKUP(Stanje[[#This Row],[Šifra vodilica]],baza_vodilica[],3,FALSE),"")</f>
        <v>31</v>
      </c>
      <c r="Q25" s="25">
        <f>IFERROR(Stanje[[#This Row],[Početan broj vodilica]]-Stanje[[#This Row],[Broj montiranih vodilica]]+Stanje[[#This Row],[Broj ulaza vodilica]],"")</f>
        <v>30</v>
      </c>
      <c r="R25" s="25">
        <f>IFERROR(Stanje[[#This Row],[Početan broj vodilica]]-Stanje[[#This Row],[Broj prodanih vodilica]]-Stanje[[#This Row],[Broj montiranih vodilica]]+Stanje[[#This Row],[Broj ulaza vodilica]],"")</f>
        <v>16</v>
      </c>
      <c r="S25" s="45"/>
      <c r="T25" s="25" t="str">
        <f>IFERROR(IF(ISBLANK(Ulaz_izlaz[[#This Row],[Šifra motora]]),"",Ulaz_izlaz[[#This Row],[Šifra motora]]),"")</f>
        <v>M2</v>
      </c>
      <c r="U25" s="10">
        <f>SUMIFS(Upis_stavki!K:K,Upis_stavki!H:H,Stanje[[#This Row],[Šifra motora]],Upis_stavki!J:J,"Ulaz")</f>
        <v>0</v>
      </c>
      <c r="V25" s="25">
        <f>SUMIFS(Upis_stavki!K:K,Upis_stavki!H:H,Stanje[[#This Row],[Šifra motora]],Upis_stavki!J:J,"Montirano")</f>
        <v>0</v>
      </c>
      <c r="W25" s="25">
        <f>SUMIFS(Upis_stavki!K:K,Upis_stavki!H:H,Stanje[[#This Row],[Šifra motora]],Upis_stavki!J:J,"Prodano")</f>
        <v>13</v>
      </c>
      <c r="X25" s="10">
        <f>IFERROR(VLOOKUP(Stanje[[#This Row],[Šifra motora]],baza_motora[],3,FALSE),"")</f>
        <v>19</v>
      </c>
      <c r="Y25" s="10">
        <f>IFERROR(Stanje[[#This Row],[Početan broj motora]]-Stanje[[#This Row],[Broj montiranih motora]]+Stanje[[#This Row],[Broj ulaza motora]],"")</f>
        <v>19</v>
      </c>
      <c r="Z25" s="25">
        <f>IFERROR(Stanje[[#This Row],[Početan broj motora]]-Stanje[[#This Row],[Broj prodanih motora]]-Stanje[[#This Row],[Broj montiranih motora]]+Stanje[[#This Row],[Broj ulaza motora]],"")</f>
        <v>6</v>
      </c>
    </row>
    <row r="26" spans="1:26" x14ac:dyDescent="0.35">
      <c r="A26" s="51">
        <v>44628</v>
      </c>
      <c r="B26" s="25">
        <f>IFERROR(IF(ISBLANK(Ulaz_izlaz[[#This Row],[Šifra proizvoda vrata]]),"",Ulaz_izlaz[[#This Row],[Šifra proizvoda vrata]]),"")</f>
        <v>72</v>
      </c>
      <c r="C26" s="25" t="str">
        <f>IFERROR(VLOOKUP(Stanje[[#This Row],[Šifra Vrata]],Vrata[],2,FALSE),"")</f>
        <v>2500 X 2125</v>
      </c>
      <c r="D26" s="25" t="str">
        <f>IFERROR(VLOOKUP(Stanje[[#This Row],[Šifra Vrata]],Vrata[],3,FALSE),"")</f>
        <v>GOLD OAK</v>
      </c>
      <c r="E26" s="25">
        <f>SUMIFS(Upis_stavki!M:M,Upis_stavki!B:B,Stanje[[#This Row],[Šifra Vrata]],Upis_stavki!J:J,"Ulaz")</f>
        <v>0</v>
      </c>
      <c r="F26" s="10">
        <f>SUMIFS(Upis_stavki!M:M,Upis_stavki!B:B,Stanje[[#This Row],[Šifra Vrata]],Upis_stavki!J:J,"Montirano")</f>
        <v>0</v>
      </c>
      <c r="G26" s="10">
        <f>SUMIFS(Upis_stavki!M:M,Upis_stavki!B:B,Stanje[[#This Row],[Šifra Vrata]],Upis_stavki!J:J,"Prodano")</f>
        <v>1</v>
      </c>
      <c r="H26" s="25">
        <f>IFERROR(VLOOKUP(Stanje[[#This Row],[Šifra Vrata]],Vrata[],4,FALSE),"")</f>
        <v>0</v>
      </c>
      <c r="I26" s="25">
        <f>IFERROR(Stanje[[#This Row],[Početan broj vrata]]-Stanje[[#This Row],[Broj montiranih Vrata]]+Stanje[[#This Row],[Broj ulaza Vrata]],"")</f>
        <v>0</v>
      </c>
      <c r="J26" s="25">
        <f>IFERROR(Stanje[[#This Row],[Početan broj vrata]]-Stanje[[#This Row],[Broj prodanih Vrata]]-Stanje[[#This Row],[Broj montiranih Vrata]]+Stanje[[#This Row],[Broj ulaza Vrata]],"")</f>
        <v>-1</v>
      </c>
      <c r="K26" s="45"/>
      <c r="L26" s="10" t="str">
        <f>IFERROR(IF(ISBLANK(Ulaz_izlaz[[#This Row],[Šifra vodilice]]),"",Ulaz_izlaz[[#This Row],[Šifra vodilice]]),"")</f>
        <v/>
      </c>
      <c r="M26" s="10">
        <f>SUMIFS(Upis_stavki!L:L,Upis_stavki!F:F,Stanje[[#This Row],[Šifra vodilica]],Upis_stavki!J:J,"Ulaz")</f>
        <v>0</v>
      </c>
      <c r="N26" s="10">
        <f>SUMIFS(Upis_stavki!L:L,Upis_stavki!F:F,Stanje[[#This Row],[Šifra vodilica]],Upis_stavki!J:J,"Montirano")</f>
        <v>0</v>
      </c>
      <c r="O26" s="25">
        <f>SUMIFS(Upis_stavki!L:L,Upis_stavki!F:F,Stanje[[#This Row],[Šifra vodilica]],Upis_stavki!J:J,"Prodano")</f>
        <v>0</v>
      </c>
      <c r="P26" s="25" t="str">
        <f>IFERROR(VLOOKUP(Stanje[[#This Row],[Šifra vodilica]],baza_vodilica[],3,FALSE),"")</f>
        <v/>
      </c>
      <c r="Q26" s="25" t="str">
        <f>IFERROR(Stanje[[#This Row],[Početan broj vodilica]]-Stanje[[#This Row],[Broj montiranih vodilica]]+Stanje[[#This Row],[Broj ulaza vodilica]],"")</f>
        <v/>
      </c>
      <c r="R26" s="25" t="str">
        <f>IFERROR(Stanje[[#This Row],[Početan broj vodilica]]-Stanje[[#This Row],[Broj prodanih vodilica]]-Stanje[[#This Row],[Broj montiranih vodilica]]+Stanje[[#This Row],[Broj ulaza vodilica]],"")</f>
        <v/>
      </c>
      <c r="S26" s="45"/>
      <c r="T26" s="25" t="str">
        <f>IFERROR(IF(ISBLANK(Ulaz_izlaz[[#This Row],[Šifra motora]]),"",Ulaz_izlaz[[#This Row],[Šifra motora]]),"")</f>
        <v>M1</v>
      </c>
      <c r="U26" s="10">
        <f>SUMIFS(Upis_stavki!K:K,Upis_stavki!H:H,Stanje[[#This Row],[Šifra motora]],Upis_stavki!J:J,"Ulaz")</f>
        <v>0</v>
      </c>
      <c r="V26" s="25">
        <f>SUMIFS(Upis_stavki!K:K,Upis_stavki!H:H,Stanje[[#This Row],[Šifra motora]],Upis_stavki!J:J,"Montirano")</f>
        <v>1</v>
      </c>
      <c r="W26" s="25">
        <f>SUMIFS(Upis_stavki!K:K,Upis_stavki!H:H,Stanje[[#This Row],[Šifra motora]],Upis_stavki!J:J,"Prodano")</f>
        <v>36</v>
      </c>
      <c r="X26" s="10">
        <f>IFERROR(VLOOKUP(Stanje[[#This Row],[Šifra motora]],baza_motora[],3,FALSE),"")</f>
        <v>63</v>
      </c>
      <c r="Y26" s="10">
        <f>IFERROR(Stanje[[#This Row],[Početan broj motora]]-Stanje[[#This Row],[Broj montiranih motora]]+Stanje[[#This Row],[Broj ulaza motora]],"")</f>
        <v>62</v>
      </c>
      <c r="Z26" s="25">
        <f>IFERROR(Stanje[[#This Row],[Početan broj motora]]-Stanje[[#This Row],[Broj prodanih motora]]-Stanje[[#This Row],[Broj montiranih motora]]+Stanje[[#This Row],[Broj ulaza motora]],"")</f>
        <v>26</v>
      </c>
    </row>
    <row r="27" spans="1:26" x14ac:dyDescent="0.35">
      <c r="A27" s="51">
        <v>44628</v>
      </c>
      <c r="B27" s="25">
        <f>IFERROR(IF(ISBLANK(Ulaz_izlaz[[#This Row],[Šifra proizvoda vrata]]),"",Ulaz_izlaz[[#This Row],[Šifra proizvoda vrata]]),"")</f>
        <v>78</v>
      </c>
      <c r="C27" s="25" t="str">
        <f>IFERROR(VLOOKUP(Stanje[[#This Row],[Šifra Vrata]],Vrata[],2,FALSE),"")</f>
        <v>3000 X 2250</v>
      </c>
      <c r="D27" s="25" t="str">
        <f>IFERROR(VLOOKUP(Stanje[[#This Row],[Šifra Vrata]],Vrata[],3,FALSE),"")</f>
        <v>GOLD OAK</v>
      </c>
      <c r="E27" s="25">
        <f>SUMIFS(Upis_stavki!M:M,Upis_stavki!B:B,Stanje[[#This Row],[Šifra Vrata]],Upis_stavki!J:J,"Ulaz")</f>
        <v>0</v>
      </c>
      <c r="F27" s="50">
        <f>SUMIFS(Upis_stavki!M:M,Upis_stavki!B:B,Stanje[[#This Row],[Šifra Vrata]],Upis_stavki!J:J,"Montirano")</f>
        <v>0</v>
      </c>
      <c r="G27" s="50">
        <f>SUMIFS(Upis_stavki!M:M,Upis_stavki!B:B,Stanje[[#This Row],[Šifra Vrata]],Upis_stavki!J:J,"Prodano")</f>
        <v>1</v>
      </c>
      <c r="H27" s="25">
        <f>IFERROR(VLOOKUP(Stanje[[#This Row],[Šifra Vrata]],Vrata[],4,FALSE),"")</f>
        <v>0</v>
      </c>
      <c r="I27" s="25">
        <f>IFERROR(Stanje[[#This Row],[Početan broj vrata]]-Stanje[[#This Row],[Broj montiranih Vrata]]+Stanje[[#This Row],[Broj ulaza Vrata]],"")</f>
        <v>0</v>
      </c>
      <c r="J27" s="25">
        <f>IFERROR(Stanje[[#This Row],[Početan broj vrata]]-Stanje[[#This Row],[Broj prodanih Vrata]]-Stanje[[#This Row],[Broj montiranih Vrata]]+Stanje[[#This Row],[Broj ulaza Vrata]],"")</f>
        <v>-1</v>
      </c>
      <c r="K27" s="45"/>
      <c r="L27" s="50" t="str">
        <f>IFERROR(IF(ISBLANK(Ulaz_izlaz[[#This Row],[Šifra vodilice]]),"",Ulaz_izlaz[[#This Row],[Šifra vodilice]]),"")</f>
        <v/>
      </c>
      <c r="M27" s="50">
        <f>SUMIFS(Upis_stavki!L:L,Upis_stavki!F:F,Stanje[[#This Row],[Šifra vodilica]],Upis_stavki!J:J,"Ulaz")</f>
        <v>0</v>
      </c>
      <c r="N27" s="50">
        <f>SUMIFS(Upis_stavki!L:L,Upis_stavki!F:F,Stanje[[#This Row],[Šifra vodilica]],Upis_stavki!J:J,"Montirano")</f>
        <v>0</v>
      </c>
      <c r="O27" s="25">
        <f>SUMIFS(Upis_stavki!L:L,Upis_stavki!F:F,Stanje[[#This Row],[Šifra vodilica]],Upis_stavki!J:J,"Prodano")</f>
        <v>0</v>
      </c>
      <c r="P27" s="25" t="str">
        <f>IFERROR(VLOOKUP(Stanje[[#This Row],[Šifra vodilica]],baza_vodilica[],3,FALSE),"")</f>
        <v/>
      </c>
      <c r="Q27" s="25" t="str">
        <f>IFERROR(Stanje[[#This Row],[Početan broj vodilica]]-Stanje[[#This Row],[Broj montiranih vodilica]]+Stanje[[#This Row],[Broj ulaza vodilica]],"")</f>
        <v/>
      </c>
      <c r="R27" s="25" t="str">
        <f>IFERROR(Stanje[[#This Row],[Početan broj vodilica]]-Stanje[[#This Row],[Broj prodanih vodilica]]-Stanje[[#This Row],[Broj montiranih vodilica]]+Stanje[[#This Row],[Broj ulaza vodilica]],"")</f>
        <v/>
      </c>
      <c r="S27" s="45"/>
      <c r="T27" s="25" t="str">
        <f>IFERROR(IF(ISBLANK(Ulaz_izlaz[[#This Row],[Šifra motora]]),"",Ulaz_izlaz[[#This Row],[Šifra motora]]),"")</f>
        <v>M1</v>
      </c>
      <c r="U27" s="50">
        <f>SUMIFS(Upis_stavki!K:K,Upis_stavki!H:H,Stanje[[#This Row],[Šifra motora]],Upis_stavki!J:J,"Ulaz")</f>
        <v>0</v>
      </c>
      <c r="V27" s="25">
        <f>SUMIFS(Upis_stavki!K:K,Upis_stavki!H:H,Stanje[[#This Row],[Šifra motora]],Upis_stavki!J:J,"Montirano")</f>
        <v>1</v>
      </c>
      <c r="W27" s="25">
        <f>SUMIFS(Upis_stavki!K:K,Upis_stavki!H:H,Stanje[[#This Row],[Šifra motora]],Upis_stavki!J:J,"Prodano")</f>
        <v>36</v>
      </c>
      <c r="X27" s="50">
        <f>IFERROR(VLOOKUP(Stanje[[#This Row],[Šifra motora]],baza_motora[],3,FALSE),"")</f>
        <v>63</v>
      </c>
      <c r="Y27" s="50">
        <f>IFERROR(Stanje[[#This Row],[Početan broj motora]]-Stanje[[#This Row],[Broj montiranih motora]]+Stanje[[#This Row],[Broj ulaza motora]],"")</f>
        <v>62</v>
      </c>
      <c r="Z27" s="25">
        <f>IFERROR(Stanje[[#This Row],[Početan broj motora]]-Stanje[[#This Row],[Broj prodanih motora]]-Stanje[[#This Row],[Broj montiranih motora]]+Stanje[[#This Row],[Broj ulaza motora]],"")</f>
        <v>26</v>
      </c>
    </row>
    <row r="28" spans="1:26" x14ac:dyDescent="0.35">
      <c r="A28" s="51">
        <v>44628</v>
      </c>
      <c r="B28" s="25">
        <f>IFERROR(IF(ISBLANK(Ulaz_izlaz[[#This Row],[Šifra proizvoda vrata]]),"",Ulaz_izlaz[[#This Row],[Šifra proizvoda vrata]]),"")</f>
        <v>82</v>
      </c>
      <c r="C28" s="25" t="str">
        <f>IFERROR(VLOOKUP(Stanje[[#This Row],[Šifra Vrata]],Vrata[],2,FALSE),"")</f>
        <v>2500 X 2500</v>
      </c>
      <c r="D28" s="25" t="str">
        <f>IFERROR(VLOOKUP(Stanje[[#This Row],[Šifra Vrata]],Vrata[],3,FALSE),"")</f>
        <v>GOLD OAK</v>
      </c>
      <c r="E28" s="25">
        <f>SUMIFS(Upis_stavki!M:M,Upis_stavki!B:B,Stanje[[#This Row],[Šifra Vrata]],Upis_stavki!J:J,"Ulaz")</f>
        <v>0</v>
      </c>
      <c r="F28" s="50">
        <f>SUMIFS(Upis_stavki!M:M,Upis_stavki!B:B,Stanje[[#This Row],[Šifra Vrata]],Upis_stavki!J:J,"Montirano")</f>
        <v>0</v>
      </c>
      <c r="G28" s="50">
        <f>SUMIFS(Upis_stavki!M:M,Upis_stavki!B:B,Stanje[[#This Row],[Šifra Vrata]],Upis_stavki!J:J,"Prodano")</f>
        <v>1</v>
      </c>
      <c r="H28" s="25">
        <f>IFERROR(VLOOKUP(Stanje[[#This Row],[Šifra Vrata]],Vrata[],4,FALSE),"")</f>
        <v>0</v>
      </c>
      <c r="I28" s="25">
        <f>IFERROR(Stanje[[#This Row],[Početan broj vrata]]-Stanje[[#This Row],[Broj montiranih Vrata]]+Stanje[[#This Row],[Broj ulaza Vrata]],"")</f>
        <v>0</v>
      </c>
      <c r="J28" s="25">
        <f>IFERROR(Stanje[[#This Row],[Početan broj vrata]]-Stanje[[#This Row],[Broj prodanih Vrata]]-Stanje[[#This Row],[Broj montiranih Vrata]]+Stanje[[#This Row],[Broj ulaza Vrata]],"")</f>
        <v>-1</v>
      </c>
      <c r="K28" s="45"/>
      <c r="L28" s="50" t="str">
        <f>IFERROR(IF(ISBLANK(Ulaz_izlaz[[#This Row],[Šifra vodilice]]),"",Ulaz_izlaz[[#This Row],[Šifra vodilice]]),"")</f>
        <v/>
      </c>
      <c r="M28" s="50">
        <f>SUMIFS(Upis_stavki!L:L,Upis_stavki!F:F,Stanje[[#This Row],[Šifra vodilica]],Upis_stavki!J:J,"Ulaz")</f>
        <v>0</v>
      </c>
      <c r="N28" s="50">
        <f>SUMIFS(Upis_stavki!L:L,Upis_stavki!F:F,Stanje[[#This Row],[Šifra vodilica]],Upis_stavki!J:J,"Montirano")</f>
        <v>0</v>
      </c>
      <c r="O28" s="25">
        <f>SUMIFS(Upis_stavki!L:L,Upis_stavki!F:F,Stanje[[#This Row],[Šifra vodilica]],Upis_stavki!J:J,"Prodano")</f>
        <v>0</v>
      </c>
      <c r="P28" s="25" t="str">
        <f>IFERROR(VLOOKUP(Stanje[[#This Row],[Šifra vodilica]],baza_vodilica[],3,FALSE),"")</f>
        <v/>
      </c>
      <c r="Q28" s="25" t="str">
        <f>IFERROR(Stanje[[#This Row],[Početan broj vodilica]]-Stanje[[#This Row],[Broj montiranih vodilica]]+Stanje[[#This Row],[Broj ulaza vodilica]],"")</f>
        <v/>
      </c>
      <c r="R28" s="25" t="str">
        <f>IFERROR(Stanje[[#This Row],[Početan broj vodilica]]-Stanje[[#This Row],[Broj prodanih vodilica]]-Stanje[[#This Row],[Broj montiranih vodilica]]+Stanje[[#This Row],[Broj ulaza vodilica]],"")</f>
        <v/>
      </c>
      <c r="S28" s="45"/>
      <c r="T28" s="25" t="str">
        <f>IFERROR(IF(ISBLANK(Ulaz_izlaz[[#This Row],[Šifra motora]]),"",Ulaz_izlaz[[#This Row],[Šifra motora]]),"")</f>
        <v/>
      </c>
      <c r="U28" s="50">
        <f>SUMIFS(Upis_stavki!K:K,Upis_stavki!H:H,Stanje[[#This Row],[Šifra motora]],Upis_stavki!J:J,"Ulaz")</f>
        <v>0</v>
      </c>
      <c r="V28" s="25">
        <f>SUMIFS(Upis_stavki!K:K,Upis_stavki!H:H,Stanje[[#This Row],[Šifra motora]],Upis_stavki!J:J,"Montirano")</f>
        <v>0</v>
      </c>
      <c r="W28" s="25">
        <f>SUMIFS(Upis_stavki!K:K,Upis_stavki!H:H,Stanje[[#This Row],[Šifra motora]],Upis_stavki!J:J,"Prodano")</f>
        <v>0</v>
      </c>
      <c r="X28" s="50" t="str">
        <f>IFERROR(VLOOKUP(Stanje[[#This Row],[Šifra motora]],baza_motora[],3,FALSE),"")</f>
        <v/>
      </c>
      <c r="Y28" s="50" t="str">
        <f>IFERROR(Stanje[[#This Row],[Početan broj motora]]-Stanje[[#This Row],[Broj montiranih motora]]+Stanje[[#This Row],[Broj ulaza motora]],"")</f>
        <v/>
      </c>
      <c r="Z28" s="25" t="str">
        <f>IFERROR(Stanje[[#This Row],[Početan broj motora]]-Stanje[[#This Row],[Broj prodanih motora]]-Stanje[[#This Row],[Broj montiranih motora]]+Stanje[[#This Row],[Broj ulaza motora]],"")</f>
        <v/>
      </c>
    </row>
    <row r="29" spans="1:26" x14ac:dyDescent="0.35">
      <c r="A29" s="51">
        <v>44628</v>
      </c>
      <c r="B29" s="25">
        <f>IFERROR(IF(ISBLANK(Ulaz_izlaz[[#This Row],[Šifra proizvoda vrata]]),"",Ulaz_izlaz[[#This Row],[Šifra proizvoda vrata]]),"")</f>
        <v>47</v>
      </c>
      <c r="C29" s="25" t="str">
        <f>IFERROR(VLOOKUP(Stanje[[#This Row],[Šifra Vrata]],Vrata[],2,FALSE),"")</f>
        <v>5000 X 2250</v>
      </c>
      <c r="D29" s="25" t="str">
        <f>IFERROR(VLOOKUP(Stanje[[#This Row],[Šifra Vrata]],Vrata[],3,FALSE),"")</f>
        <v>RAL 7016 PLAN</v>
      </c>
      <c r="E29" s="25">
        <f>SUMIFS(Upis_stavki!M:M,Upis_stavki!B:B,Stanje[[#This Row],[Šifra Vrata]],Upis_stavki!J:J,"Ulaz")</f>
        <v>0</v>
      </c>
      <c r="F29" s="50">
        <f>SUMIFS(Upis_stavki!M:M,Upis_stavki!B:B,Stanje[[#This Row],[Šifra Vrata]],Upis_stavki!J:J,"Montirano")</f>
        <v>0</v>
      </c>
      <c r="G29" s="50">
        <f>SUMIFS(Upis_stavki!M:M,Upis_stavki!B:B,Stanje[[#This Row],[Šifra Vrata]],Upis_stavki!J:J,"Prodano")</f>
        <v>4</v>
      </c>
      <c r="H29" s="25">
        <f>IFERROR(VLOOKUP(Stanje[[#This Row],[Šifra Vrata]],Vrata[],4,FALSE),"")</f>
        <v>11</v>
      </c>
      <c r="I29" s="25">
        <f>IFERROR(Stanje[[#This Row],[Početan broj vrata]]-Stanje[[#This Row],[Broj montiranih Vrata]]+Stanje[[#This Row],[Broj ulaza Vrata]],"")</f>
        <v>11</v>
      </c>
      <c r="J29" s="25">
        <f>IFERROR(Stanje[[#This Row],[Početan broj vrata]]-Stanje[[#This Row],[Broj prodanih Vrata]]-Stanje[[#This Row],[Broj montiranih Vrata]]+Stanje[[#This Row],[Broj ulaza Vrata]],"")</f>
        <v>7</v>
      </c>
      <c r="K29" s="45"/>
      <c r="L29" s="50" t="str">
        <f>IFERROR(IF(ISBLANK(Ulaz_izlaz[[#This Row],[Šifra vodilice]]),"",Ulaz_izlaz[[#This Row],[Šifra vodilice]]),"")</f>
        <v>V1</v>
      </c>
      <c r="M29" s="50">
        <f>SUMIFS(Upis_stavki!L:L,Upis_stavki!F:F,Stanje[[#This Row],[Šifra vodilica]],Upis_stavki!J:J,"Ulaz")</f>
        <v>0</v>
      </c>
      <c r="N29" s="50">
        <f>SUMIFS(Upis_stavki!L:L,Upis_stavki!F:F,Stanje[[#This Row],[Šifra vodilica]],Upis_stavki!J:J,"Montirano")</f>
        <v>1</v>
      </c>
      <c r="O29" s="25">
        <f>SUMIFS(Upis_stavki!L:L,Upis_stavki!F:F,Stanje[[#This Row],[Šifra vodilica]],Upis_stavki!J:J,"Prodano")</f>
        <v>14</v>
      </c>
      <c r="P29" s="25">
        <f>IFERROR(VLOOKUP(Stanje[[#This Row],[Šifra vodilica]],baza_vodilica[],3,FALSE),"")</f>
        <v>31</v>
      </c>
      <c r="Q29" s="25">
        <f>IFERROR(Stanje[[#This Row],[Početan broj vodilica]]-Stanje[[#This Row],[Broj montiranih vodilica]]+Stanje[[#This Row],[Broj ulaza vodilica]],"")</f>
        <v>30</v>
      </c>
      <c r="R29" s="25">
        <f>IFERROR(Stanje[[#This Row],[Početan broj vodilica]]-Stanje[[#This Row],[Broj prodanih vodilica]]-Stanje[[#This Row],[Broj montiranih vodilica]]+Stanje[[#This Row],[Broj ulaza vodilica]],"")</f>
        <v>16</v>
      </c>
      <c r="S29" s="45"/>
      <c r="T29" s="25" t="str">
        <f>IFERROR(IF(ISBLANK(Ulaz_izlaz[[#This Row],[Šifra motora]]),"",Ulaz_izlaz[[#This Row],[Šifra motora]]),"")</f>
        <v>M2</v>
      </c>
      <c r="U29" s="50">
        <f>SUMIFS(Upis_stavki!K:K,Upis_stavki!H:H,Stanje[[#This Row],[Šifra motora]],Upis_stavki!J:J,"Ulaz")</f>
        <v>0</v>
      </c>
      <c r="V29" s="25">
        <f>SUMIFS(Upis_stavki!K:K,Upis_stavki!H:H,Stanje[[#This Row],[Šifra motora]],Upis_stavki!J:J,"Montirano")</f>
        <v>0</v>
      </c>
      <c r="W29" s="25">
        <f>SUMIFS(Upis_stavki!K:K,Upis_stavki!H:H,Stanje[[#This Row],[Šifra motora]],Upis_stavki!J:J,"Prodano")</f>
        <v>13</v>
      </c>
      <c r="X29" s="50">
        <f>IFERROR(VLOOKUP(Stanje[[#This Row],[Šifra motora]],baza_motora[],3,FALSE),"")</f>
        <v>19</v>
      </c>
      <c r="Y29" s="50">
        <f>IFERROR(Stanje[[#This Row],[Početan broj motora]]-Stanje[[#This Row],[Broj montiranih motora]]+Stanje[[#This Row],[Broj ulaza motora]],"")</f>
        <v>19</v>
      </c>
      <c r="Z29" s="25">
        <f>IFERROR(Stanje[[#This Row],[Početan broj motora]]-Stanje[[#This Row],[Broj prodanih motora]]-Stanje[[#This Row],[Broj montiranih motora]]+Stanje[[#This Row],[Broj ulaza motora]],"")</f>
        <v>6</v>
      </c>
    </row>
    <row r="30" spans="1:26" x14ac:dyDescent="0.35">
      <c r="A30" s="51">
        <v>44628</v>
      </c>
      <c r="B30" s="25">
        <f>IFERROR(IF(ISBLANK(Ulaz_izlaz[[#This Row],[Šifra proizvoda vrata]]),"",Ulaz_izlaz[[#This Row],[Šifra proizvoda vrata]]),"")</f>
        <v>71</v>
      </c>
      <c r="C30" s="25" t="str">
        <f>IFERROR(VLOOKUP(Stanje[[#This Row],[Šifra Vrata]],Vrata[],2,FALSE),"")</f>
        <v>3000 X 2000</v>
      </c>
      <c r="D30" s="25" t="str">
        <f>IFERROR(VLOOKUP(Stanje[[#This Row],[Šifra Vrata]],Vrata[],3,FALSE),"")</f>
        <v>GOLD OAK</v>
      </c>
      <c r="E30" s="25">
        <f>SUMIFS(Upis_stavki!M:M,Upis_stavki!B:B,Stanje[[#This Row],[Šifra Vrata]],Upis_stavki!J:J,"Ulaz")</f>
        <v>0</v>
      </c>
      <c r="F30" s="50">
        <f>SUMIFS(Upis_stavki!M:M,Upis_stavki!B:B,Stanje[[#This Row],[Šifra Vrata]],Upis_stavki!J:J,"Montirano")</f>
        <v>0</v>
      </c>
      <c r="G30" s="50">
        <f>SUMIFS(Upis_stavki!M:M,Upis_stavki!B:B,Stanje[[#This Row],[Šifra Vrata]],Upis_stavki!J:J,"Prodano")</f>
        <v>1</v>
      </c>
      <c r="H30" s="25">
        <f>IFERROR(VLOOKUP(Stanje[[#This Row],[Šifra Vrata]],Vrata[],4,FALSE),"")</f>
        <v>0</v>
      </c>
      <c r="I30" s="25">
        <f>IFERROR(Stanje[[#This Row],[Početan broj vrata]]-Stanje[[#This Row],[Broj montiranih Vrata]]+Stanje[[#This Row],[Broj ulaza Vrata]],"")</f>
        <v>0</v>
      </c>
      <c r="J30" s="25">
        <f>IFERROR(Stanje[[#This Row],[Početan broj vrata]]-Stanje[[#This Row],[Broj prodanih Vrata]]-Stanje[[#This Row],[Broj montiranih Vrata]]+Stanje[[#This Row],[Broj ulaza Vrata]],"")</f>
        <v>-1</v>
      </c>
      <c r="K30" s="45"/>
      <c r="L30" s="50" t="str">
        <f>IFERROR(IF(ISBLANK(Ulaz_izlaz[[#This Row],[Šifra vodilice]]),"",Ulaz_izlaz[[#This Row],[Šifra vodilice]]),"")</f>
        <v>V1</v>
      </c>
      <c r="M30" s="50">
        <f>SUMIFS(Upis_stavki!L:L,Upis_stavki!F:F,Stanje[[#This Row],[Šifra vodilica]],Upis_stavki!J:J,"Ulaz")</f>
        <v>0</v>
      </c>
      <c r="N30" s="50">
        <f>SUMIFS(Upis_stavki!L:L,Upis_stavki!F:F,Stanje[[#This Row],[Šifra vodilica]],Upis_stavki!J:J,"Montirano")</f>
        <v>1</v>
      </c>
      <c r="O30" s="25">
        <f>SUMIFS(Upis_stavki!L:L,Upis_stavki!F:F,Stanje[[#This Row],[Šifra vodilica]],Upis_stavki!J:J,"Prodano")</f>
        <v>14</v>
      </c>
      <c r="P30" s="25">
        <f>IFERROR(VLOOKUP(Stanje[[#This Row],[Šifra vodilica]],baza_vodilica[],3,FALSE),"")</f>
        <v>31</v>
      </c>
      <c r="Q30" s="25">
        <f>IFERROR(Stanje[[#This Row],[Početan broj vodilica]]-Stanje[[#This Row],[Broj montiranih vodilica]]+Stanje[[#This Row],[Broj ulaza vodilica]],"")</f>
        <v>30</v>
      </c>
      <c r="R30" s="25">
        <f>IFERROR(Stanje[[#This Row],[Početan broj vodilica]]-Stanje[[#This Row],[Broj prodanih vodilica]]-Stanje[[#This Row],[Broj montiranih vodilica]]+Stanje[[#This Row],[Broj ulaza vodilica]],"")</f>
        <v>16</v>
      </c>
      <c r="S30" s="45"/>
      <c r="T30" s="25" t="str">
        <f>IFERROR(IF(ISBLANK(Ulaz_izlaz[[#This Row],[Šifra motora]]),"",Ulaz_izlaz[[#This Row],[Šifra motora]]),"")</f>
        <v>M5</v>
      </c>
      <c r="U30" s="50">
        <f>SUMIFS(Upis_stavki!K:K,Upis_stavki!H:H,Stanje[[#This Row],[Šifra motora]],Upis_stavki!J:J,"Ulaz")</f>
        <v>0</v>
      </c>
      <c r="V30" s="25">
        <f>SUMIFS(Upis_stavki!K:K,Upis_stavki!H:H,Stanje[[#This Row],[Šifra motora]],Upis_stavki!J:J,"Montirano")</f>
        <v>1</v>
      </c>
      <c r="W30" s="25">
        <f>SUMIFS(Upis_stavki!K:K,Upis_stavki!H:H,Stanje[[#This Row],[Šifra motora]],Upis_stavki!J:J,"Prodano")</f>
        <v>4</v>
      </c>
      <c r="X30" s="50">
        <f>IFERROR(VLOOKUP(Stanje[[#This Row],[Šifra motora]],baza_motora[],3,FALSE),"")</f>
        <v>22</v>
      </c>
      <c r="Y30" s="50">
        <f>IFERROR(Stanje[[#This Row],[Početan broj motora]]-Stanje[[#This Row],[Broj montiranih motora]]+Stanje[[#This Row],[Broj ulaza motora]],"")</f>
        <v>21</v>
      </c>
      <c r="Z30" s="25">
        <f>IFERROR(Stanje[[#This Row],[Početan broj motora]]-Stanje[[#This Row],[Broj prodanih motora]]-Stanje[[#This Row],[Broj montiranih motora]]+Stanje[[#This Row],[Broj ulaza motora]],"")</f>
        <v>17</v>
      </c>
    </row>
    <row r="31" spans="1:26" x14ac:dyDescent="0.35">
      <c r="A31" s="51">
        <v>44628</v>
      </c>
      <c r="B31" s="25">
        <f>IFERROR(IF(ISBLANK(Ulaz_izlaz[[#This Row],[Šifra proizvoda vrata]]),"",Ulaz_izlaz[[#This Row],[Šifra proizvoda vrata]]),"")</f>
        <v>34</v>
      </c>
      <c r="C31" s="25" t="str">
        <f>IFERROR(VLOOKUP(Stanje[[#This Row],[Šifra Vrata]],Vrata[],2,FALSE),"")</f>
        <v>5000 X 2500</v>
      </c>
      <c r="D31" s="25" t="str">
        <f>IFERROR(VLOOKUP(Stanje[[#This Row],[Šifra Vrata]],Vrata[],3,FALSE),"")</f>
        <v>RAL 7016 WOOD</v>
      </c>
      <c r="E31" s="25">
        <f>SUMIFS(Upis_stavki!M:M,Upis_stavki!B:B,Stanje[[#This Row],[Šifra Vrata]],Upis_stavki!J:J,"Ulaz")</f>
        <v>0</v>
      </c>
      <c r="F31" s="50">
        <f>SUMIFS(Upis_stavki!M:M,Upis_stavki!B:B,Stanje[[#This Row],[Šifra Vrata]],Upis_stavki!J:J,"Montirano")</f>
        <v>0</v>
      </c>
      <c r="G31" s="50">
        <f>SUMIFS(Upis_stavki!M:M,Upis_stavki!B:B,Stanje[[#This Row],[Šifra Vrata]],Upis_stavki!J:J,"Prodano")</f>
        <v>1</v>
      </c>
      <c r="H31" s="25">
        <f>IFERROR(VLOOKUP(Stanje[[#This Row],[Šifra Vrata]],Vrata[],4,FALSE),"")</f>
        <v>1</v>
      </c>
      <c r="I31" s="25">
        <f>IFERROR(Stanje[[#This Row],[Početan broj vrata]]-Stanje[[#This Row],[Broj montiranih Vrata]]+Stanje[[#This Row],[Broj ulaza Vrata]],"")</f>
        <v>1</v>
      </c>
      <c r="J31" s="25">
        <f>IFERROR(Stanje[[#This Row],[Početan broj vrata]]-Stanje[[#This Row],[Broj prodanih Vrata]]-Stanje[[#This Row],[Broj montiranih Vrata]]+Stanje[[#This Row],[Broj ulaza Vrata]],"")</f>
        <v>0</v>
      </c>
      <c r="K31" s="45"/>
      <c r="L31" s="50" t="str">
        <f>IFERROR(IF(ISBLANK(Ulaz_izlaz[[#This Row],[Šifra vodilice]]),"",Ulaz_izlaz[[#This Row],[Šifra vodilice]]),"")</f>
        <v>V1</v>
      </c>
      <c r="M31" s="50">
        <f>SUMIFS(Upis_stavki!L:L,Upis_stavki!F:F,Stanje[[#This Row],[Šifra vodilica]],Upis_stavki!J:J,"Ulaz")</f>
        <v>0</v>
      </c>
      <c r="N31" s="50">
        <f>SUMIFS(Upis_stavki!L:L,Upis_stavki!F:F,Stanje[[#This Row],[Šifra vodilica]],Upis_stavki!J:J,"Montirano")</f>
        <v>1</v>
      </c>
      <c r="O31" s="25">
        <f>SUMIFS(Upis_stavki!L:L,Upis_stavki!F:F,Stanje[[#This Row],[Šifra vodilica]],Upis_stavki!J:J,"Prodano")</f>
        <v>14</v>
      </c>
      <c r="P31" s="25">
        <f>IFERROR(VLOOKUP(Stanje[[#This Row],[Šifra vodilica]],baza_vodilica[],3,FALSE),"")</f>
        <v>31</v>
      </c>
      <c r="Q31" s="25">
        <f>IFERROR(Stanje[[#This Row],[Početan broj vodilica]]-Stanje[[#This Row],[Broj montiranih vodilica]]+Stanje[[#This Row],[Broj ulaza vodilica]],"")</f>
        <v>30</v>
      </c>
      <c r="R31" s="25">
        <f>IFERROR(Stanje[[#This Row],[Početan broj vodilica]]-Stanje[[#This Row],[Broj prodanih vodilica]]-Stanje[[#This Row],[Broj montiranih vodilica]]+Stanje[[#This Row],[Broj ulaza vodilica]],"")</f>
        <v>16</v>
      </c>
      <c r="S31" s="45"/>
      <c r="T31" s="25" t="str">
        <f>IFERROR(IF(ISBLANK(Ulaz_izlaz[[#This Row],[Šifra motora]]),"",Ulaz_izlaz[[#This Row],[Šifra motora]]),"")</f>
        <v>M2</v>
      </c>
      <c r="U31" s="50">
        <f>SUMIFS(Upis_stavki!K:K,Upis_stavki!H:H,Stanje[[#This Row],[Šifra motora]],Upis_stavki!J:J,"Ulaz")</f>
        <v>0</v>
      </c>
      <c r="V31" s="25">
        <f>SUMIFS(Upis_stavki!K:K,Upis_stavki!H:H,Stanje[[#This Row],[Šifra motora]],Upis_stavki!J:J,"Montirano")</f>
        <v>0</v>
      </c>
      <c r="W31" s="25">
        <f>SUMIFS(Upis_stavki!K:K,Upis_stavki!H:H,Stanje[[#This Row],[Šifra motora]],Upis_stavki!J:J,"Prodano")</f>
        <v>13</v>
      </c>
      <c r="X31" s="50">
        <f>IFERROR(VLOOKUP(Stanje[[#This Row],[Šifra motora]],baza_motora[],3,FALSE),"")</f>
        <v>19</v>
      </c>
      <c r="Y31" s="50">
        <f>IFERROR(Stanje[[#This Row],[Početan broj motora]]-Stanje[[#This Row],[Broj montiranih motora]]+Stanje[[#This Row],[Broj ulaza motora]],"")</f>
        <v>19</v>
      </c>
      <c r="Z31" s="25">
        <f>IFERROR(Stanje[[#This Row],[Početan broj motora]]-Stanje[[#This Row],[Broj prodanih motora]]-Stanje[[#This Row],[Broj montiranih motora]]+Stanje[[#This Row],[Broj ulaza motora]],"")</f>
        <v>6</v>
      </c>
    </row>
    <row r="32" spans="1:26" x14ac:dyDescent="0.35">
      <c r="A32" s="51">
        <v>44628</v>
      </c>
      <c r="B32" s="25">
        <f>IFERROR(IF(ISBLANK(Ulaz_izlaz[[#This Row],[Šifra proizvoda vrata]]),"",Ulaz_izlaz[[#This Row],[Šifra proizvoda vrata]]),"")</f>
        <v>40</v>
      </c>
      <c r="C32" s="25" t="str">
        <f>IFERROR(VLOOKUP(Stanje[[#This Row],[Šifra Vrata]],Vrata[],2,FALSE),"")</f>
        <v>3000 X 2125</v>
      </c>
      <c r="D32" s="25" t="str">
        <f>IFERROR(VLOOKUP(Stanje[[#This Row],[Šifra Vrata]],Vrata[],3,FALSE),"")</f>
        <v>RAL 7016 PLAN</v>
      </c>
      <c r="E32" s="25">
        <f>SUMIFS(Upis_stavki!M:M,Upis_stavki!B:B,Stanje[[#This Row],[Šifra Vrata]],Upis_stavki!J:J,"Ulaz")</f>
        <v>0</v>
      </c>
      <c r="F32" s="50">
        <f>SUMIFS(Upis_stavki!M:M,Upis_stavki!B:B,Stanje[[#This Row],[Šifra Vrata]],Upis_stavki!J:J,"Montirano")</f>
        <v>0</v>
      </c>
      <c r="G32" s="50">
        <f>SUMIFS(Upis_stavki!M:M,Upis_stavki!B:B,Stanje[[#This Row],[Šifra Vrata]],Upis_stavki!J:J,"Prodano")</f>
        <v>1</v>
      </c>
      <c r="H32" s="25">
        <f>IFERROR(VLOOKUP(Stanje[[#This Row],[Šifra Vrata]],Vrata[],4,FALSE),"")</f>
        <v>3</v>
      </c>
      <c r="I32" s="25">
        <f>IFERROR(Stanje[[#This Row],[Početan broj vrata]]-Stanje[[#This Row],[Broj montiranih Vrata]]+Stanje[[#This Row],[Broj ulaza Vrata]],"")</f>
        <v>3</v>
      </c>
      <c r="J32" s="25">
        <f>IFERROR(Stanje[[#This Row],[Početan broj vrata]]-Stanje[[#This Row],[Broj prodanih Vrata]]-Stanje[[#This Row],[Broj montiranih Vrata]]+Stanje[[#This Row],[Broj ulaza Vrata]],"")</f>
        <v>2</v>
      </c>
      <c r="K32" s="45"/>
      <c r="L32" s="50" t="str">
        <f>IFERROR(IF(ISBLANK(Ulaz_izlaz[[#This Row],[Šifra vodilice]]),"",Ulaz_izlaz[[#This Row],[Šifra vodilice]]),"")</f>
        <v/>
      </c>
      <c r="M32" s="50">
        <f>SUMIFS(Upis_stavki!L:L,Upis_stavki!F:F,Stanje[[#This Row],[Šifra vodilica]],Upis_stavki!J:J,"Ulaz")</f>
        <v>0</v>
      </c>
      <c r="N32" s="50">
        <f>SUMIFS(Upis_stavki!L:L,Upis_stavki!F:F,Stanje[[#This Row],[Šifra vodilica]],Upis_stavki!J:J,"Montirano")</f>
        <v>0</v>
      </c>
      <c r="O32" s="25">
        <f>SUMIFS(Upis_stavki!L:L,Upis_stavki!F:F,Stanje[[#This Row],[Šifra vodilica]],Upis_stavki!J:J,"Prodano")</f>
        <v>0</v>
      </c>
      <c r="P32" s="25" t="str">
        <f>IFERROR(VLOOKUP(Stanje[[#This Row],[Šifra vodilica]],baza_vodilica[],3,FALSE),"")</f>
        <v/>
      </c>
      <c r="Q32" s="25" t="str">
        <f>IFERROR(Stanje[[#This Row],[Početan broj vodilica]]-Stanje[[#This Row],[Broj montiranih vodilica]]+Stanje[[#This Row],[Broj ulaza vodilica]],"")</f>
        <v/>
      </c>
      <c r="R32" s="25" t="str">
        <f>IFERROR(Stanje[[#This Row],[Početan broj vodilica]]-Stanje[[#This Row],[Broj prodanih vodilica]]-Stanje[[#This Row],[Broj montiranih vodilica]]+Stanje[[#This Row],[Broj ulaza vodilica]],"")</f>
        <v/>
      </c>
      <c r="S32" s="45"/>
      <c r="T32" s="25" t="str">
        <f>IFERROR(IF(ISBLANK(Ulaz_izlaz[[#This Row],[Šifra motora]]),"",Ulaz_izlaz[[#This Row],[Šifra motora]]),"")</f>
        <v>M1</v>
      </c>
      <c r="U32" s="50">
        <f>SUMIFS(Upis_stavki!K:K,Upis_stavki!H:H,Stanje[[#This Row],[Šifra motora]],Upis_stavki!J:J,"Ulaz")</f>
        <v>0</v>
      </c>
      <c r="V32" s="25">
        <f>SUMIFS(Upis_stavki!K:K,Upis_stavki!H:H,Stanje[[#This Row],[Šifra motora]],Upis_stavki!J:J,"Montirano")</f>
        <v>1</v>
      </c>
      <c r="W32" s="25">
        <f>SUMIFS(Upis_stavki!K:K,Upis_stavki!H:H,Stanje[[#This Row],[Šifra motora]],Upis_stavki!J:J,"Prodano")</f>
        <v>36</v>
      </c>
      <c r="X32" s="50">
        <f>IFERROR(VLOOKUP(Stanje[[#This Row],[Šifra motora]],baza_motora[],3,FALSE),"")</f>
        <v>63</v>
      </c>
      <c r="Y32" s="50">
        <f>IFERROR(Stanje[[#This Row],[Početan broj motora]]-Stanje[[#This Row],[Broj montiranih motora]]+Stanje[[#This Row],[Broj ulaza motora]],"")</f>
        <v>62</v>
      </c>
      <c r="Z32" s="25">
        <f>IFERROR(Stanje[[#This Row],[Početan broj motora]]-Stanje[[#This Row],[Broj prodanih motora]]-Stanje[[#This Row],[Broj montiranih motora]]+Stanje[[#This Row],[Broj ulaza motora]],"")</f>
        <v>26</v>
      </c>
    </row>
    <row r="33" spans="1:26" x14ac:dyDescent="0.35">
      <c r="A33" s="51">
        <v>44628</v>
      </c>
      <c r="B33" s="25">
        <f>IFERROR(IF(ISBLANK(Ulaz_izlaz[[#This Row],[Šifra proizvoda vrata]]),"",Ulaz_izlaz[[#This Row],[Šifra proizvoda vrata]]),"")</f>
        <v>19</v>
      </c>
      <c r="C33" s="25" t="str">
        <f>IFERROR(VLOOKUP(Stanje[[#This Row],[Šifra Vrata]],Vrata[],2,FALSE),"")</f>
        <v>2500 X 2000</v>
      </c>
      <c r="D33" s="25" t="str">
        <f>IFERROR(VLOOKUP(Stanje[[#This Row],[Šifra Vrata]],Vrata[],3,FALSE),"")</f>
        <v>RAL 7016 WOOD</v>
      </c>
      <c r="E33" s="25">
        <f>SUMIFS(Upis_stavki!M:M,Upis_stavki!B:B,Stanje[[#This Row],[Šifra Vrata]],Upis_stavki!J:J,"Ulaz")</f>
        <v>0</v>
      </c>
      <c r="F33" s="50">
        <f>SUMIFS(Upis_stavki!M:M,Upis_stavki!B:B,Stanje[[#This Row],[Šifra Vrata]],Upis_stavki!J:J,"Montirano")</f>
        <v>0</v>
      </c>
      <c r="G33" s="50">
        <f>SUMIFS(Upis_stavki!M:M,Upis_stavki!B:B,Stanje[[#This Row],[Šifra Vrata]],Upis_stavki!J:J,"Prodano")</f>
        <v>1</v>
      </c>
      <c r="H33" s="25">
        <f>IFERROR(VLOOKUP(Stanje[[#This Row],[Šifra Vrata]],Vrata[],4,FALSE),"")</f>
        <v>2</v>
      </c>
      <c r="I33" s="25">
        <f>IFERROR(Stanje[[#This Row],[Početan broj vrata]]-Stanje[[#This Row],[Broj montiranih Vrata]]+Stanje[[#This Row],[Broj ulaza Vrata]],"")</f>
        <v>2</v>
      </c>
      <c r="J33" s="25">
        <f>IFERROR(Stanje[[#This Row],[Početan broj vrata]]-Stanje[[#This Row],[Broj prodanih Vrata]]-Stanje[[#This Row],[Broj montiranih Vrata]]+Stanje[[#This Row],[Broj ulaza Vrata]],"")</f>
        <v>1</v>
      </c>
      <c r="K33" s="45"/>
      <c r="L33" s="50" t="str">
        <f>IFERROR(IF(ISBLANK(Ulaz_izlaz[[#This Row],[Šifra vodilice]]),"",Ulaz_izlaz[[#This Row],[Šifra vodilice]]),"")</f>
        <v/>
      </c>
      <c r="M33" s="50">
        <f>SUMIFS(Upis_stavki!L:L,Upis_stavki!F:F,Stanje[[#This Row],[Šifra vodilica]],Upis_stavki!J:J,"Ulaz")</f>
        <v>0</v>
      </c>
      <c r="N33" s="50">
        <f>SUMIFS(Upis_stavki!L:L,Upis_stavki!F:F,Stanje[[#This Row],[Šifra vodilica]],Upis_stavki!J:J,"Montirano")</f>
        <v>0</v>
      </c>
      <c r="O33" s="25">
        <f>SUMIFS(Upis_stavki!L:L,Upis_stavki!F:F,Stanje[[#This Row],[Šifra vodilica]],Upis_stavki!J:J,"Prodano")</f>
        <v>0</v>
      </c>
      <c r="P33" s="25" t="str">
        <f>IFERROR(VLOOKUP(Stanje[[#This Row],[Šifra vodilica]],baza_vodilica[],3,FALSE),"")</f>
        <v/>
      </c>
      <c r="Q33" s="25" t="str">
        <f>IFERROR(Stanje[[#This Row],[Početan broj vodilica]]-Stanje[[#This Row],[Broj montiranih vodilica]]+Stanje[[#This Row],[Broj ulaza vodilica]],"")</f>
        <v/>
      </c>
      <c r="R33" s="25" t="str">
        <f>IFERROR(Stanje[[#This Row],[Početan broj vodilica]]-Stanje[[#This Row],[Broj prodanih vodilica]]-Stanje[[#This Row],[Broj montiranih vodilica]]+Stanje[[#This Row],[Broj ulaza vodilica]],"")</f>
        <v/>
      </c>
      <c r="S33" s="45"/>
      <c r="T33" s="25" t="str">
        <f>IFERROR(IF(ISBLANK(Ulaz_izlaz[[#This Row],[Šifra motora]]),"",Ulaz_izlaz[[#This Row],[Šifra motora]]),"")</f>
        <v>M1</v>
      </c>
      <c r="U33" s="50">
        <f>SUMIFS(Upis_stavki!K:K,Upis_stavki!H:H,Stanje[[#This Row],[Šifra motora]],Upis_stavki!J:J,"Ulaz")</f>
        <v>0</v>
      </c>
      <c r="V33" s="25">
        <f>SUMIFS(Upis_stavki!K:K,Upis_stavki!H:H,Stanje[[#This Row],[Šifra motora]],Upis_stavki!J:J,"Montirano")</f>
        <v>1</v>
      </c>
      <c r="W33" s="25">
        <f>SUMIFS(Upis_stavki!K:K,Upis_stavki!H:H,Stanje[[#This Row],[Šifra motora]],Upis_stavki!J:J,"Prodano")</f>
        <v>36</v>
      </c>
      <c r="X33" s="50">
        <f>IFERROR(VLOOKUP(Stanje[[#This Row],[Šifra motora]],baza_motora[],3,FALSE),"")</f>
        <v>63</v>
      </c>
      <c r="Y33" s="50">
        <f>IFERROR(Stanje[[#This Row],[Početan broj motora]]-Stanje[[#This Row],[Broj montiranih motora]]+Stanje[[#This Row],[Broj ulaza motora]],"")</f>
        <v>62</v>
      </c>
      <c r="Z33" s="25">
        <f>IFERROR(Stanje[[#This Row],[Početan broj motora]]-Stanje[[#This Row],[Broj prodanih motora]]-Stanje[[#This Row],[Broj montiranih motora]]+Stanje[[#This Row],[Broj ulaza motora]],"")</f>
        <v>26</v>
      </c>
    </row>
    <row r="34" spans="1:26" x14ac:dyDescent="0.35">
      <c r="A34" s="51">
        <v>44630</v>
      </c>
      <c r="B34" s="25" t="str">
        <f>IFERROR(IF(ISBLANK(Ulaz_izlaz[[#This Row],[Šifra proizvoda vrata]]),"",Ulaz_izlaz[[#This Row],[Šifra proizvoda vrata]]),"")</f>
        <v/>
      </c>
      <c r="C34" s="25" t="str">
        <f>IFERROR(VLOOKUP(Stanje[[#This Row],[Šifra Vrata]],Vrata[],2,FALSE),"")</f>
        <v/>
      </c>
      <c r="D34" s="25" t="str">
        <f>IFERROR(VLOOKUP(Stanje[[#This Row],[Šifra Vrata]],Vrata[],3,FALSE),"")</f>
        <v/>
      </c>
      <c r="E34" s="25">
        <f>SUMIFS(Upis_stavki!M:M,Upis_stavki!B:B,Stanje[[#This Row],[Šifra Vrata]],Upis_stavki!J:J,"Ulaz")</f>
        <v>0</v>
      </c>
      <c r="F34" s="50">
        <f>SUMIFS(Upis_stavki!M:M,Upis_stavki!B:B,Stanje[[#This Row],[Šifra Vrata]],Upis_stavki!J:J,"Montirano")</f>
        <v>0</v>
      </c>
      <c r="G34" s="50">
        <f>SUMIFS(Upis_stavki!M:M,Upis_stavki!B:B,Stanje[[#This Row],[Šifra Vrata]],Upis_stavki!J:J,"Prodano")</f>
        <v>0</v>
      </c>
      <c r="H34" s="25" t="str">
        <f>IFERROR(VLOOKUP(Stanje[[#This Row],[Šifra Vrata]],Vrata[],4,FALSE),"")</f>
        <v/>
      </c>
      <c r="I34" s="25" t="str">
        <f>IFERROR(Stanje[[#This Row],[Početan broj vrata]]-Stanje[[#This Row],[Broj montiranih Vrata]]+Stanje[[#This Row],[Broj ulaza Vrata]],"")</f>
        <v/>
      </c>
      <c r="J34" s="25" t="str">
        <f>IFERROR(Stanje[[#This Row],[Početan broj vrata]]-Stanje[[#This Row],[Broj prodanih Vrata]]-Stanje[[#This Row],[Broj montiranih Vrata]]+Stanje[[#This Row],[Broj ulaza Vrata]],"")</f>
        <v/>
      </c>
      <c r="K34" s="45"/>
      <c r="L34" s="50" t="str">
        <f>IFERROR(IF(ISBLANK(Ulaz_izlaz[[#This Row],[Šifra vodilice]]),"",Ulaz_izlaz[[#This Row],[Šifra vodilice]]),"")</f>
        <v/>
      </c>
      <c r="M34" s="50">
        <f>SUMIFS(Upis_stavki!L:L,Upis_stavki!F:F,Stanje[[#This Row],[Šifra vodilica]],Upis_stavki!J:J,"Ulaz")</f>
        <v>0</v>
      </c>
      <c r="N34" s="50">
        <f>SUMIFS(Upis_stavki!L:L,Upis_stavki!F:F,Stanje[[#This Row],[Šifra vodilica]],Upis_stavki!J:J,"Montirano")</f>
        <v>0</v>
      </c>
      <c r="O34" s="25">
        <f>SUMIFS(Upis_stavki!L:L,Upis_stavki!F:F,Stanje[[#This Row],[Šifra vodilica]],Upis_stavki!J:J,"Prodano")</f>
        <v>0</v>
      </c>
      <c r="P34" s="25" t="str">
        <f>IFERROR(VLOOKUP(Stanje[[#This Row],[Šifra vodilica]],baza_vodilica[],3,FALSE),"")</f>
        <v/>
      </c>
      <c r="Q34" s="25" t="str">
        <f>IFERROR(Stanje[[#This Row],[Početan broj vodilica]]-Stanje[[#This Row],[Broj montiranih vodilica]]+Stanje[[#This Row],[Broj ulaza vodilica]],"")</f>
        <v/>
      </c>
      <c r="R34" s="25" t="str">
        <f>IFERROR(Stanje[[#This Row],[Početan broj vodilica]]-Stanje[[#This Row],[Broj prodanih vodilica]]-Stanje[[#This Row],[Broj montiranih vodilica]]+Stanje[[#This Row],[Broj ulaza vodilica]],"")</f>
        <v/>
      </c>
      <c r="S34" s="45"/>
      <c r="T34" s="25" t="str">
        <f>IFERROR(IF(ISBLANK(Ulaz_izlaz[[#This Row],[Šifra motora]]),"",Ulaz_izlaz[[#This Row],[Šifra motora]]),"")</f>
        <v>M7</v>
      </c>
      <c r="U34" s="50">
        <f>SUMIFS(Upis_stavki!K:K,Upis_stavki!H:H,Stanje[[#This Row],[Šifra motora]],Upis_stavki!J:J,"Ulaz")</f>
        <v>0</v>
      </c>
      <c r="V34" s="25">
        <f>SUMIFS(Upis_stavki!K:K,Upis_stavki!H:H,Stanje[[#This Row],[Šifra motora]],Upis_stavki!J:J,"Montirano")</f>
        <v>2</v>
      </c>
      <c r="W34" s="25">
        <f>SUMIFS(Upis_stavki!K:K,Upis_stavki!H:H,Stanje[[#This Row],[Šifra motora]],Upis_stavki!J:J,"Prodano")</f>
        <v>3</v>
      </c>
      <c r="X34" s="50">
        <f>IFERROR(VLOOKUP(Stanje[[#This Row],[Šifra motora]],baza_motora[],3,FALSE),"")</f>
        <v>6</v>
      </c>
      <c r="Y34" s="50">
        <f>IFERROR(Stanje[[#This Row],[Početan broj motora]]-Stanje[[#This Row],[Broj montiranih motora]]+Stanje[[#This Row],[Broj ulaza motora]],"")</f>
        <v>4</v>
      </c>
      <c r="Z34" s="25">
        <f>IFERROR(Stanje[[#This Row],[Početan broj motora]]-Stanje[[#This Row],[Broj prodanih motora]]-Stanje[[#This Row],[Broj montiranih motora]]+Stanje[[#This Row],[Broj ulaza motora]],"")</f>
        <v>1</v>
      </c>
    </row>
    <row r="35" spans="1:26" x14ac:dyDescent="0.35">
      <c r="A35" s="51">
        <v>44630</v>
      </c>
      <c r="B35" s="25" t="str">
        <f>IFERROR(IF(ISBLANK(Ulaz_izlaz[[#This Row],[Šifra proizvoda vrata]]),"",Ulaz_izlaz[[#This Row],[Šifra proizvoda vrata]]),"")</f>
        <v/>
      </c>
      <c r="C35" s="25" t="str">
        <f>IFERROR(VLOOKUP(Stanje[[#This Row],[Šifra Vrata]],Vrata[],2,FALSE),"")</f>
        <v/>
      </c>
      <c r="D35" s="25" t="str">
        <f>IFERROR(VLOOKUP(Stanje[[#This Row],[Šifra Vrata]],Vrata[],3,FALSE),"")</f>
        <v/>
      </c>
      <c r="E35" s="25">
        <f>SUMIFS(Upis_stavki!M:M,Upis_stavki!B:B,Stanje[[#This Row],[Šifra Vrata]],Upis_stavki!J:J,"Ulaz")</f>
        <v>0</v>
      </c>
      <c r="F35" s="50">
        <f>SUMIFS(Upis_stavki!M:M,Upis_stavki!B:B,Stanje[[#This Row],[Šifra Vrata]],Upis_stavki!J:J,"Montirano")</f>
        <v>0</v>
      </c>
      <c r="G35" s="50">
        <f>SUMIFS(Upis_stavki!M:M,Upis_stavki!B:B,Stanje[[#This Row],[Šifra Vrata]],Upis_stavki!J:J,"Prodano")</f>
        <v>0</v>
      </c>
      <c r="H35" s="25" t="str">
        <f>IFERROR(VLOOKUP(Stanje[[#This Row],[Šifra Vrata]],Vrata[],4,FALSE),"")</f>
        <v/>
      </c>
      <c r="I35" s="25" t="str">
        <f>IFERROR(Stanje[[#This Row],[Početan broj vrata]]-Stanje[[#This Row],[Broj montiranih Vrata]]+Stanje[[#This Row],[Broj ulaza Vrata]],"")</f>
        <v/>
      </c>
      <c r="J35" s="25" t="str">
        <f>IFERROR(Stanje[[#This Row],[Početan broj vrata]]-Stanje[[#This Row],[Broj prodanih Vrata]]-Stanje[[#This Row],[Broj montiranih Vrata]]+Stanje[[#This Row],[Broj ulaza Vrata]],"")</f>
        <v/>
      </c>
      <c r="K35" s="45"/>
      <c r="L35" s="50" t="str">
        <f>IFERROR(IF(ISBLANK(Ulaz_izlaz[[#This Row],[Šifra vodilice]]),"",Ulaz_izlaz[[#This Row],[Šifra vodilice]]),"")</f>
        <v/>
      </c>
      <c r="M35" s="50">
        <f>SUMIFS(Upis_stavki!L:L,Upis_stavki!F:F,Stanje[[#This Row],[Šifra vodilica]],Upis_stavki!J:J,"Ulaz")</f>
        <v>0</v>
      </c>
      <c r="N35" s="50">
        <f>SUMIFS(Upis_stavki!L:L,Upis_stavki!F:F,Stanje[[#This Row],[Šifra vodilica]],Upis_stavki!J:J,"Montirano")</f>
        <v>0</v>
      </c>
      <c r="O35" s="25">
        <f>SUMIFS(Upis_stavki!L:L,Upis_stavki!F:F,Stanje[[#This Row],[Šifra vodilica]],Upis_stavki!J:J,"Prodano")</f>
        <v>0</v>
      </c>
      <c r="P35" s="25" t="str">
        <f>IFERROR(VLOOKUP(Stanje[[#This Row],[Šifra vodilica]],baza_vodilica[],3,FALSE),"")</f>
        <v/>
      </c>
      <c r="Q35" s="25" t="str">
        <f>IFERROR(Stanje[[#This Row],[Početan broj vodilica]]-Stanje[[#This Row],[Broj montiranih vodilica]]+Stanje[[#This Row],[Broj ulaza vodilica]],"")</f>
        <v/>
      </c>
      <c r="R35" s="25" t="str">
        <f>IFERROR(Stanje[[#This Row],[Početan broj vodilica]]-Stanje[[#This Row],[Broj prodanih vodilica]]-Stanje[[#This Row],[Broj montiranih vodilica]]+Stanje[[#This Row],[Broj ulaza vodilica]],"")</f>
        <v/>
      </c>
      <c r="S35" s="45"/>
      <c r="T35" s="25" t="str">
        <f>IFERROR(IF(ISBLANK(Ulaz_izlaz[[#This Row],[Šifra motora]]),"",Ulaz_izlaz[[#This Row],[Šifra motora]]),"")</f>
        <v>M7</v>
      </c>
      <c r="U35" s="50">
        <f>SUMIFS(Upis_stavki!K:K,Upis_stavki!H:H,Stanje[[#This Row],[Šifra motora]],Upis_stavki!J:J,"Ulaz")</f>
        <v>0</v>
      </c>
      <c r="V35" s="25">
        <f>SUMIFS(Upis_stavki!K:K,Upis_stavki!H:H,Stanje[[#This Row],[Šifra motora]],Upis_stavki!J:J,"Montirano")</f>
        <v>2</v>
      </c>
      <c r="W35" s="25">
        <f>SUMIFS(Upis_stavki!K:K,Upis_stavki!H:H,Stanje[[#This Row],[Šifra motora]],Upis_stavki!J:J,"Prodano")</f>
        <v>3</v>
      </c>
      <c r="X35" s="50">
        <f>IFERROR(VLOOKUP(Stanje[[#This Row],[Šifra motora]],baza_motora[],3,FALSE),"")</f>
        <v>6</v>
      </c>
      <c r="Y35" s="50">
        <f>IFERROR(Stanje[[#This Row],[Početan broj motora]]-Stanje[[#This Row],[Broj montiranih motora]]+Stanje[[#This Row],[Broj ulaza motora]],"")</f>
        <v>4</v>
      </c>
      <c r="Z35" s="25">
        <f>IFERROR(Stanje[[#This Row],[Početan broj motora]]-Stanje[[#This Row],[Broj prodanih motora]]-Stanje[[#This Row],[Broj montiranih motora]]+Stanje[[#This Row],[Broj ulaza motora]],"")</f>
        <v>1</v>
      </c>
    </row>
    <row r="36" spans="1:26" x14ac:dyDescent="0.35">
      <c r="A36" s="51">
        <v>44630</v>
      </c>
      <c r="B36" s="25">
        <f>IFERROR(IF(ISBLANK(Ulaz_izlaz[[#This Row],[Šifra proizvoda vrata]]),"",Ulaz_izlaz[[#This Row],[Šifra proizvoda vrata]]),"")</f>
        <v>8</v>
      </c>
      <c r="C36" s="25" t="str">
        <f>IFERROR(VLOOKUP(Stanje[[#This Row],[Šifra Vrata]],Vrata[],2,FALSE),"")</f>
        <v>2500 X 2250</v>
      </c>
      <c r="D36" s="25" t="str">
        <f>IFERROR(VLOOKUP(Stanje[[#This Row],[Šifra Vrata]],Vrata[],3,FALSE),"")</f>
        <v>RAL 9016 - WOOD</v>
      </c>
      <c r="E36" s="25">
        <f>SUMIFS(Upis_stavki!M:M,Upis_stavki!B:B,Stanje[[#This Row],[Šifra Vrata]],Upis_stavki!J:J,"Ulaz")</f>
        <v>0</v>
      </c>
      <c r="F36" s="50">
        <f>SUMIFS(Upis_stavki!M:M,Upis_stavki!B:B,Stanje[[#This Row],[Šifra Vrata]],Upis_stavki!J:J,"Montirano")</f>
        <v>1</v>
      </c>
      <c r="G36" s="50">
        <f>SUMIFS(Upis_stavki!M:M,Upis_stavki!B:B,Stanje[[#This Row],[Šifra Vrata]],Upis_stavki!J:J,"Prodano")</f>
        <v>0</v>
      </c>
      <c r="H36" s="25">
        <f>IFERROR(VLOOKUP(Stanje[[#This Row],[Šifra Vrata]],Vrata[],4,FALSE),"")</f>
        <v>7</v>
      </c>
      <c r="I36" s="25">
        <f>IFERROR(Stanje[[#This Row],[Početan broj vrata]]-Stanje[[#This Row],[Broj montiranih Vrata]]+Stanje[[#This Row],[Broj ulaza Vrata]],"")</f>
        <v>6</v>
      </c>
      <c r="J36" s="25">
        <f>IFERROR(Stanje[[#This Row],[Početan broj vrata]]-Stanje[[#This Row],[Broj prodanih Vrata]]-Stanje[[#This Row],[Broj montiranih Vrata]]+Stanje[[#This Row],[Broj ulaza Vrata]],"")</f>
        <v>6</v>
      </c>
      <c r="K36" s="45"/>
      <c r="L36" s="50" t="str">
        <f>IFERROR(IF(ISBLANK(Ulaz_izlaz[[#This Row],[Šifra vodilice]]),"",Ulaz_izlaz[[#This Row],[Šifra vodilice]]),"")</f>
        <v/>
      </c>
      <c r="M36" s="50">
        <f>SUMIFS(Upis_stavki!L:L,Upis_stavki!F:F,Stanje[[#This Row],[Šifra vodilica]],Upis_stavki!J:J,"Ulaz")</f>
        <v>0</v>
      </c>
      <c r="N36" s="50">
        <f>SUMIFS(Upis_stavki!L:L,Upis_stavki!F:F,Stanje[[#This Row],[Šifra vodilica]],Upis_stavki!J:J,"Montirano")</f>
        <v>0</v>
      </c>
      <c r="O36" s="25">
        <f>SUMIFS(Upis_stavki!L:L,Upis_stavki!F:F,Stanje[[#This Row],[Šifra vodilica]],Upis_stavki!J:J,"Prodano")</f>
        <v>0</v>
      </c>
      <c r="P36" s="25" t="str">
        <f>IFERROR(VLOOKUP(Stanje[[#This Row],[Šifra vodilica]],baza_vodilica[],3,FALSE),"")</f>
        <v/>
      </c>
      <c r="Q36" s="25" t="str">
        <f>IFERROR(Stanje[[#This Row],[Početan broj vodilica]]-Stanje[[#This Row],[Broj montiranih vodilica]]+Stanje[[#This Row],[Broj ulaza vodilica]],"")</f>
        <v/>
      </c>
      <c r="R36" s="25" t="str">
        <f>IFERROR(Stanje[[#This Row],[Početan broj vodilica]]-Stanje[[#This Row],[Broj prodanih vodilica]]-Stanje[[#This Row],[Broj montiranih vodilica]]+Stanje[[#This Row],[Broj ulaza vodilica]],"")</f>
        <v/>
      </c>
      <c r="S36" s="45"/>
      <c r="T36" s="25" t="str">
        <f>IFERROR(IF(ISBLANK(Ulaz_izlaz[[#This Row],[Šifra motora]]),"",Ulaz_izlaz[[#This Row],[Šifra motora]]),"")</f>
        <v/>
      </c>
      <c r="U36" s="50">
        <f>SUMIFS(Upis_stavki!K:K,Upis_stavki!H:H,Stanje[[#This Row],[Šifra motora]],Upis_stavki!J:J,"Ulaz")</f>
        <v>0</v>
      </c>
      <c r="V36" s="25">
        <f>SUMIFS(Upis_stavki!K:K,Upis_stavki!H:H,Stanje[[#This Row],[Šifra motora]],Upis_stavki!J:J,"Montirano")</f>
        <v>0</v>
      </c>
      <c r="W36" s="25">
        <f>SUMIFS(Upis_stavki!K:K,Upis_stavki!H:H,Stanje[[#This Row],[Šifra motora]],Upis_stavki!J:J,"Prodano")</f>
        <v>0</v>
      </c>
      <c r="X36" s="50" t="str">
        <f>IFERROR(VLOOKUP(Stanje[[#This Row],[Šifra motora]],baza_motora[],3,FALSE),"")</f>
        <v/>
      </c>
      <c r="Y36" s="50" t="str">
        <f>IFERROR(Stanje[[#This Row],[Početan broj motora]]-Stanje[[#This Row],[Broj montiranih motora]]+Stanje[[#This Row],[Broj ulaza motora]],"")</f>
        <v/>
      </c>
      <c r="Z36" s="25" t="str">
        <f>IFERROR(Stanje[[#This Row],[Početan broj motora]]-Stanje[[#This Row],[Broj prodanih motora]]-Stanje[[#This Row],[Broj montiranih motora]]+Stanje[[#This Row],[Broj ulaza motora]],"")</f>
        <v/>
      </c>
    </row>
    <row r="37" spans="1:26" x14ac:dyDescent="0.35">
      <c r="A37" s="51">
        <v>44630</v>
      </c>
      <c r="B37" s="25">
        <f>IFERROR(IF(ISBLANK(Ulaz_izlaz[[#This Row],[Šifra proizvoda vrata]]),"",Ulaz_izlaz[[#This Row],[Šifra proizvoda vrata]]),"")</f>
        <v>108</v>
      </c>
      <c r="C37" s="25" t="str">
        <f>IFERROR(VLOOKUP(Stanje[[#This Row],[Šifra Vrata]],Vrata[],2,FALSE),"")</f>
        <v>3000X3000</v>
      </c>
      <c r="D37" s="25" t="str">
        <f>IFERROR(VLOOKUP(Stanje[[#This Row],[Šifra Vrata]],Vrata[],3,FALSE),"")</f>
        <v>PLANAR 7016</v>
      </c>
      <c r="E37" s="25">
        <f>SUMIFS(Upis_stavki!M:M,Upis_stavki!B:B,Stanje[[#This Row],[Šifra Vrata]],Upis_stavki!J:J,"Ulaz")</f>
        <v>0</v>
      </c>
      <c r="F37" s="50">
        <f>SUMIFS(Upis_stavki!M:M,Upis_stavki!B:B,Stanje[[#This Row],[Šifra Vrata]],Upis_stavki!J:J,"Montirano")</f>
        <v>0</v>
      </c>
      <c r="G37" s="50">
        <f>SUMIFS(Upis_stavki!M:M,Upis_stavki!B:B,Stanje[[#This Row],[Šifra Vrata]],Upis_stavki!J:J,"Prodano")</f>
        <v>3</v>
      </c>
      <c r="H37" s="25">
        <f>IFERROR(VLOOKUP(Stanje[[#This Row],[Šifra Vrata]],Vrata[],4,FALSE),"")</f>
        <v>0</v>
      </c>
      <c r="I37" s="25">
        <f>IFERROR(Stanje[[#This Row],[Početan broj vrata]]-Stanje[[#This Row],[Broj montiranih Vrata]]+Stanje[[#This Row],[Broj ulaza Vrata]],"")</f>
        <v>0</v>
      </c>
      <c r="J37" s="25">
        <f>IFERROR(Stanje[[#This Row],[Početan broj vrata]]-Stanje[[#This Row],[Broj prodanih Vrata]]-Stanje[[#This Row],[Broj montiranih Vrata]]+Stanje[[#This Row],[Broj ulaza Vrata]],"")</f>
        <v>-3</v>
      </c>
      <c r="K37" s="45"/>
      <c r="L37" s="50" t="str">
        <f>IFERROR(IF(ISBLANK(Ulaz_izlaz[[#This Row],[Šifra vodilice]]),"",Ulaz_izlaz[[#This Row],[Šifra vodilice]]),"")</f>
        <v/>
      </c>
      <c r="M37" s="50">
        <f>SUMIFS(Upis_stavki!L:L,Upis_stavki!F:F,Stanje[[#This Row],[Šifra vodilica]],Upis_stavki!J:J,"Ulaz")</f>
        <v>0</v>
      </c>
      <c r="N37" s="50">
        <f>SUMIFS(Upis_stavki!L:L,Upis_stavki!F:F,Stanje[[#This Row],[Šifra vodilica]],Upis_stavki!J:J,"Montirano")</f>
        <v>0</v>
      </c>
      <c r="O37" s="25">
        <f>SUMIFS(Upis_stavki!L:L,Upis_stavki!F:F,Stanje[[#This Row],[Šifra vodilica]],Upis_stavki!J:J,"Prodano")</f>
        <v>0</v>
      </c>
      <c r="P37" s="25" t="str">
        <f>IFERROR(VLOOKUP(Stanje[[#This Row],[Šifra vodilica]],baza_vodilica[],3,FALSE),"")</f>
        <v/>
      </c>
      <c r="Q37" s="25" t="str">
        <f>IFERROR(Stanje[[#This Row],[Početan broj vodilica]]-Stanje[[#This Row],[Broj montiranih vodilica]]+Stanje[[#This Row],[Broj ulaza vodilica]],"")</f>
        <v/>
      </c>
      <c r="R37" s="25" t="str">
        <f>IFERROR(Stanje[[#This Row],[Početan broj vodilica]]-Stanje[[#This Row],[Broj prodanih vodilica]]-Stanje[[#This Row],[Broj montiranih vodilica]]+Stanje[[#This Row],[Broj ulaza vodilica]],"")</f>
        <v/>
      </c>
      <c r="S37" s="45"/>
      <c r="T37" s="25" t="str">
        <f>IFERROR(IF(ISBLANK(Ulaz_izlaz[[#This Row],[Šifra motora]]),"",Ulaz_izlaz[[#This Row],[Šifra motora]]),"")</f>
        <v/>
      </c>
      <c r="U37" s="50">
        <f>SUMIFS(Upis_stavki!K:K,Upis_stavki!H:H,Stanje[[#This Row],[Šifra motora]],Upis_stavki!J:J,"Ulaz")</f>
        <v>0</v>
      </c>
      <c r="V37" s="25">
        <f>SUMIFS(Upis_stavki!K:K,Upis_stavki!H:H,Stanje[[#This Row],[Šifra motora]],Upis_stavki!J:J,"Montirano")</f>
        <v>0</v>
      </c>
      <c r="W37" s="25">
        <f>SUMIFS(Upis_stavki!K:K,Upis_stavki!H:H,Stanje[[#This Row],[Šifra motora]],Upis_stavki!J:J,"Prodano")</f>
        <v>0</v>
      </c>
      <c r="X37" s="50" t="str">
        <f>IFERROR(VLOOKUP(Stanje[[#This Row],[Šifra motora]],baza_motora[],3,FALSE),"")</f>
        <v/>
      </c>
      <c r="Y37" s="50" t="str">
        <f>IFERROR(Stanje[[#This Row],[Početan broj motora]]-Stanje[[#This Row],[Broj montiranih motora]]+Stanje[[#This Row],[Broj ulaza motora]],"")</f>
        <v/>
      </c>
      <c r="Z37" s="25" t="str">
        <f>IFERROR(Stanje[[#This Row],[Početan broj motora]]-Stanje[[#This Row],[Broj prodanih motora]]-Stanje[[#This Row],[Broj montiranih motora]]+Stanje[[#This Row],[Broj ulaza motora]],"")</f>
        <v/>
      </c>
    </row>
    <row r="38" spans="1:26" x14ac:dyDescent="0.35">
      <c r="A38" s="51">
        <v>44630</v>
      </c>
      <c r="B38" s="25">
        <f>IFERROR(IF(ISBLANK(Ulaz_izlaz[[#This Row],[Šifra proizvoda vrata]]),"",Ulaz_izlaz[[#This Row],[Šifra proizvoda vrata]]),"")</f>
        <v>109</v>
      </c>
      <c r="C38" s="25" t="str">
        <f>IFERROR(VLOOKUP(Stanje[[#This Row],[Šifra Vrata]],Vrata[],2,FALSE),"")</f>
        <v>2375 X 2125</v>
      </c>
      <c r="D38" s="25" t="str">
        <f>IFERROR(VLOOKUP(Stanje[[#This Row],[Šifra Vrata]],Vrata[],3,FALSE),"")</f>
        <v>RAL 9016 - WOOD</v>
      </c>
      <c r="E38" s="25">
        <f>SUMIFS(Upis_stavki!M:M,Upis_stavki!B:B,Stanje[[#This Row],[Šifra Vrata]],Upis_stavki!J:J,"Ulaz")</f>
        <v>0</v>
      </c>
      <c r="F38" s="50">
        <f>SUMIFS(Upis_stavki!M:M,Upis_stavki!B:B,Stanje[[#This Row],[Šifra Vrata]],Upis_stavki!J:J,"Montirano")</f>
        <v>0</v>
      </c>
      <c r="G38" s="50">
        <f>SUMIFS(Upis_stavki!M:M,Upis_stavki!B:B,Stanje[[#This Row],[Šifra Vrata]],Upis_stavki!J:J,"Prodano")</f>
        <v>1</v>
      </c>
      <c r="H38" s="25">
        <f>IFERROR(VLOOKUP(Stanje[[#This Row],[Šifra Vrata]],Vrata[],4,FALSE),"")</f>
        <v>0</v>
      </c>
      <c r="I38" s="25">
        <f>IFERROR(Stanje[[#This Row],[Početan broj vrata]]-Stanje[[#This Row],[Broj montiranih Vrata]]+Stanje[[#This Row],[Broj ulaza Vrata]],"")</f>
        <v>0</v>
      </c>
      <c r="J38" s="25">
        <f>IFERROR(Stanje[[#This Row],[Početan broj vrata]]-Stanje[[#This Row],[Broj prodanih Vrata]]-Stanje[[#This Row],[Broj montiranih Vrata]]+Stanje[[#This Row],[Broj ulaza Vrata]],"")</f>
        <v>-1</v>
      </c>
      <c r="K38" s="45"/>
      <c r="L38" s="50" t="str">
        <f>IFERROR(IF(ISBLANK(Ulaz_izlaz[[#This Row],[Šifra vodilice]]),"",Ulaz_izlaz[[#This Row],[Šifra vodilice]]),"")</f>
        <v/>
      </c>
      <c r="M38" s="50">
        <f>SUMIFS(Upis_stavki!L:L,Upis_stavki!F:F,Stanje[[#This Row],[Šifra vodilica]],Upis_stavki!J:J,"Ulaz")</f>
        <v>0</v>
      </c>
      <c r="N38" s="50">
        <f>SUMIFS(Upis_stavki!L:L,Upis_stavki!F:F,Stanje[[#This Row],[Šifra vodilica]],Upis_stavki!J:J,"Montirano")</f>
        <v>0</v>
      </c>
      <c r="O38" s="25">
        <f>SUMIFS(Upis_stavki!L:L,Upis_stavki!F:F,Stanje[[#This Row],[Šifra vodilica]],Upis_stavki!J:J,"Prodano")</f>
        <v>0</v>
      </c>
      <c r="P38" s="25" t="str">
        <f>IFERROR(VLOOKUP(Stanje[[#This Row],[Šifra vodilica]],baza_vodilica[],3,FALSE),"")</f>
        <v/>
      </c>
      <c r="Q38" s="25" t="str">
        <f>IFERROR(Stanje[[#This Row],[Početan broj vodilica]]-Stanje[[#This Row],[Broj montiranih vodilica]]+Stanje[[#This Row],[Broj ulaza vodilica]],"")</f>
        <v/>
      </c>
      <c r="R38" s="25" t="str">
        <f>IFERROR(Stanje[[#This Row],[Početan broj vodilica]]-Stanje[[#This Row],[Broj prodanih vodilica]]-Stanje[[#This Row],[Broj montiranih vodilica]]+Stanje[[#This Row],[Broj ulaza vodilica]],"")</f>
        <v/>
      </c>
      <c r="S38" s="45"/>
      <c r="T38" s="25" t="str">
        <f>IFERROR(IF(ISBLANK(Ulaz_izlaz[[#This Row],[Šifra motora]]),"",Ulaz_izlaz[[#This Row],[Šifra motora]]),"")</f>
        <v>M1</v>
      </c>
      <c r="U38" s="50">
        <f>SUMIFS(Upis_stavki!K:K,Upis_stavki!H:H,Stanje[[#This Row],[Šifra motora]],Upis_stavki!J:J,"Ulaz")</f>
        <v>0</v>
      </c>
      <c r="V38" s="25">
        <f>SUMIFS(Upis_stavki!K:K,Upis_stavki!H:H,Stanje[[#This Row],[Šifra motora]],Upis_stavki!J:J,"Montirano")</f>
        <v>1</v>
      </c>
      <c r="W38" s="25">
        <f>SUMIFS(Upis_stavki!K:K,Upis_stavki!H:H,Stanje[[#This Row],[Šifra motora]],Upis_stavki!J:J,"Prodano")</f>
        <v>36</v>
      </c>
      <c r="X38" s="50">
        <f>IFERROR(VLOOKUP(Stanje[[#This Row],[Šifra motora]],baza_motora[],3,FALSE),"")</f>
        <v>63</v>
      </c>
      <c r="Y38" s="50">
        <f>IFERROR(Stanje[[#This Row],[Početan broj motora]]-Stanje[[#This Row],[Broj montiranih motora]]+Stanje[[#This Row],[Broj ulaza motora]],"")</f>
        <v>62</v>
      </c>
      <c r="Z38" s="25">
        <f>IFERROR(Stanje[[#This Row],[Početan broj motora]]-Stanje[[#This Row],[Broj prodanih motora]]-Stanje[[#This Row],[Broj montiranih motora]]+Stanje[[#This Row],[Broj ulaza motora]],"")</f>
        <v>26</v>
      </c>
    </row>
    <row r="39" spans="1:26" x14ac:dyDescent="0.35">
      <c r="A39" s="51">
        <v>44630</v>
      </c>
      <c r="B39" s="25">
        <f>IFERROR(IF(ISBLANK(Ulaz_izlaz[[#This Row],[Šifra proizvoda vrata]]),"",Ulaz_izlaz[[#This Row],[Šifra proizvoda vrata]]),"")</f>
        <v>110</v>
      </c>
      <c r="C39" s="25" t="str">
        <f>IFERROR(VLOOKUP(Stanje[[#This Row],[Šifra Vrata]],Vrata[],2,FALSE),"")</f>
        <v>4000 X 2500</v>
      </c>
      <c r="D39" s="25" t="str">
        <f>IFERROR(VLOOKUP(Stanje[[#This Row],[Šifra Vrata]],Vrata[],3,FALSE),"")</f>
        <v>RAL 7016</v>
      </c>
      <c r="E39" s="25">
        <f>SUMIFS(Upis_stavki!M:M,Upis_stavki!B:B,Stanje[[#This Row],[Šifra Vrata]],Upis_stavki!J:J,"Ulaz")</f>
        <v>0</v>
      </c>
      <c r="F39" s="50">
        <f>SUMIFS(Upis_stavki!M:M,Upis_stavki!B:B,Stanje[[#This Row],[Šifra Vrata]],Upis_stavki!J:J,"Montirano")</f>
        <v>0</v>
      </c>
      <c r="G39" s="50">
        <f>SUMIFS(Upis_stavki!M:M,Upis_stavki!B:B,Stanje[[#This Row],[Šifra Vrata]],Upis_stavki!J:J,"Prodano")</f>
        <v>1</v>
      </c>
      <c r="H39" s="25">
        <f>IFERROR(VLOOKUP(Stanje[[#This Row],[Šifra Vrata]],Vrata[],4,FALSE),"")</f>
        <v>0</v>
      </c>
      <c r="I39" s="25">
        <f>IFERROR(Stanje[[#This Row],[Početan broj vrata]]-Stanje[[#This Row],[Broj montiranih Vrata]]+Stanje[[#This Row],[Broj ulaza Vrata]],"")</f>
        <v>0</v>
      </c>
      <c r="J39" s="25">
        <f>IFERROR(Stanje[[#This Row],[Početan broj vrata]]-Stanje[[#This Row],[Broj prodanih Vrata]]-Stanje[[#This Row],[Broj montiranih Vrata]]+Stanje[[#This Row],[Broj ulaza Vrata]],"")</f>
        <v>-1</v>
      </c>
      <c r="K39" s="45"/>
      <c r="L39" s="50" t="str">
        <f>IFERROR(IF(ISBLANK(Ulaz_izlaz[[#This Row],[Šifra vodilice]]),"",Ulaz_izlaz[[#This Row],[Šifra vodilice]]),"")</f>
        <v/>
      </c>
      <c r="M39" s="50">
        <f>SUMIFS(Upis_stavki!L:L,Upis_stavki!F:F,Stanje[[#This Row],[Šifra vodilica]],Upis_stavki!J:J,"Ulaz")</f>
        <v>0</v>
      </c>
      <c r="N39" s="50">
        <f>SUMIFS(Upis_stavki!L:L,Upis_stavki!F:F,Stanje[[#This Row],[Šifra vodilica]],Upis_stavki!J:J,"Montirano")</f>
        <v>0</v>
      </c>
      <c r="O39" s="25">
        <f>SUMIFS(Upis_stavki!L:L,Upis_stavki!F:F,Stanje[[#This Row],[Šifra vodilica]],Upis_stavki!J:J,"Prodano")</f>
        <v>0</v>
      </c>
      <c r="P39" s="25" t="str">
        <f>IFERROR(VLOOKUP(Stanje[[#This Row],[Šifra vodilica]],baza_vodilica[],3,FALSE),"")</f>
        <v/>
      </c>
      <c r="Q39" s="25" t="str">
        <f>IFERROR(Stanje[[#This Row],[Početan broj vodilica]]-Stanje[[#This Row],[Broj montiranih vodilica]]+Stanje[[#This Row],[Broj ulaza vodilica]],"")</f>
        <v/>
      </c>
      <c r="R39" s="25" t="str">
        <f>IFERROR(Stanje[[#This Row],[Početan broj vodilica]]-Stanje[[#This Row],[Broj prodanih vodilica]]-Stanje[[#This Row],[Broj montiranih vodilica]]+Stanje[[#This Row],[Broj ulaza vodilica]],"")</f>
        <v/>
      </c>
      <c r="S39" s="45"/>
      <c r="T39" s="25" t="str">
        <f>IFERROR(IF(ISBLANK(Ulaz_izlaz[[#This Row],[Šifra motora]]),"",Ulaz_izlaz[[#This Row],[Šifra motora]]),"")</f>
        <v/>
      </c>
      <c r="U39" s="50">
        <f>SUMIFS(Upis_stavki!K:K,Upis_stavki!H:H,Stanje[[#This Row],[Šifra motora]],Upis_stavki!J:J,"Ulaz")</f>
        <v>0</v>
      </c>
      <c r="V39" s="25">
        <f>SUMIFS(Upis_stavki!K:K,Upis_stavki!H:H,Stanje[[#This Row],[Šifra motora]],Upis_stavki!J:J,"Montirano")</f>
        <v>0</v>
      </c>
      <c r="W39" s="25">
        <f>SUMIFS(Upis_stavki!K:K,Upis_stavki!H:H,Stanje[[#This Row],[Šifra motora]],Upis_stavki!J:J,"Prodano")</f>
        <v>0</v>
      </c>
      <c r="X39" s="50" t="str">
        <f>IFERROR(VLOOKUP(Stanje[[#This Row],[Šifra motora]],baza_motora[],3,FALSE),"")</f>
        <v/>
      </c>
      <c r="Y39" s="50" t="str">
        <f>IFERROR(Stanje[[#This Row],[Početan broj motora]]-Stanje[[#This Row],[Broj montiranih motora]]+Stanje[[#This Row],[Broj ulaza motora]],"")</f>
        <v/>
      </c>
      <c r="Z39" s="25" t="str">
        <f>IFERROR(Stanje[[#This Row],[Početan broj motora]]-Stanje[[#This Row],[Broj prodanih motora]]-Stanje[[#This Row],[Broj montiranih motora]]+Stanje[[#This Row],[Broj ulaza motora]],"")</f>
        <v/>
      </c>
    </row>
    <row r="40" spans="1:26" x14ac:dyDescent="0.35">
      <c r="A40" s="51">
        <v>44630</v>
      </c>
      <c r="B40" s="25">
        <f>IFERROR(IF(ISBLANK(Ulaz_izlaz[[#This Row],[Šifra proizvoda vrata]]),"",Ulaz_izlaz[[#This Row],[Šifra proizvoda vrata]]),"")</f>
        <v>27</v>
      </c>
      <c r="C40" s="25" t="str">
        <f>IFERROR(VLOOKUP(Stanje[[#This Row],[Šifra Vrata]],Vrata[],2,FALSE),"")</f>
        <v>3000 X 2250</v>
      </c>
      <c r="D40" s="25" t="str">
        <f>IFERROR(VLOOKUP(Stanje[[#This Row],[Šifra Vrata]],Vrata[],3,FALSE),"")</f>
        <v>RAL 7016 WOOD</v>
      </c>
      <c r="E40" s="25">
        <f>SUMIFS(Upis_stavki!M:M,Upis_stavki!B:B,Stanje[[#This Row],[Šifra Vrata]],Upis_stavki!J:J,"Ulaz")</f>
        <v>0</v>
      </c>
      <c r="F40" s="50">
        <f>SUMIFS(Upis_stavki!M:M,Upis_stavki!B:B,Stanje[[#This Row],[Šifra Vrata]],Upis_stavki!J:J,"Montirano")</f>
        <v>0</v>
      </c>
      <c r="G40" s="50">
        <f>SUMIFS(Upis_stavki!M:M,Upis_stavki!B:B,Stanje[[#This Row],[Šifra Vrata]],Upis_stavki!J:J,"Prodano")</f>
        <v>2</v>
      </c>
      <c r="H40" s="25">
        <f>IFERROR(VLOOKUP(Stanje[[#This Row],[Šifra Vrata]],Vrata[],4,FALSE),"")</f>
        <v>3</v>
      </c>
      <c r="I40" s="25">
        <f>IFERROR(Stanje[[#This Row],[Početan broj vrata]]-Stanje[[#This Row],[Broj montiranih Vrata]]+Stanje[[#This Row],[Broj ulaza Vrata]],"")</f>
        <v>3</v>
      </c>
      <c r="J40" s="25">
        <f>IFERROR(Stanje[[#This Row],[Početan broj vrata]]-Stanje[[#This Row],[Broj prodanih Vrata]]-Stanje[[#This Row],[Broj montiranih Vrata]]+Stanje[[#This Row],[Broj ulaza Vrata]],"")</f>
        <v>1</v>
      </c>
      <c r="K40" s="45"/>
      <c r="L40" s="50" t="str">
        <f>IFERROR(IF(ISBLANK(Ulaz_izlaz[[#This Row],[Šifra vodilice]]),"",Ulaz_izlaz[[#This Row],[Šifra vodilice]]),"")</f>
        <v/>
      </c>
      <c r="M40" s="50">
        <f>SUMIFS(Upis_stavki!L:L,Upis_stavki!F:F,Stanje[[#This Row],[Šifra vodilica]],Upis_stavki!J:J,"Ulaz")</f>
        <v>0</v>
      </c>
      <c r="N40" s="50">
        <f>SUMIFS(Upis_stavki!L:L,Upis_stavki!F:F,Stanje[[#This Row],[Šifra vodilica]],Upis_stavki!J:J,"Montirano")</f>
        <v>0</v>
      </c>
      <c r="O40" s="25">
        <f>SUMIFS(Upis_stavki!L:L,Upis_stavki!F:F,Stanje[[#This Row],[Šifra vodilica]],Upis_stavki!J:J,"Prodano")</f>
        <v>0</v>
      </c>
      <c r="P40" s="25" t="str">
        <f>IFERROR(VLOOKUP(Stanje[[#This Row],[Šifra vodilica]],baza_vodilica[],3,FALSE),"")</f>
        <v/>
      </c>
      <c r="Q40" s="25" t="str">
        <f>IFERROR(Stanje[[#This Row],[Početan broj vodilica]]-Stanje[[#This Row],[Broj montiranih vodilica]]+Stanje[[#This Row],[Broj ulaza vodilica]],"")</f>
        <v/>
      </c>
      <c r="R40" s="25" t="str">
        <f>IFERROR(Stanje[[#This Row],[Početan broj vodilica]]-Stanje[[#This Row],[Broj prodanih vodilica]]-Stanje[[#This Row],[Broj montiranih vodilica]]+Stanje[[#This Row],[Broj ulaza vodilica]],"")</f>
        <v/>
      </c>
      <c r="S40" s="45"/>
      <c r="T40" s="25" t="str">
        <f>IFERROR(IF(ISBLANK(Ulaz_izlaz[[#This Row],[Šifra motora]]),"",Ulaz_izlaz[[#This Row],[Šifra motora]]),"")</f>
        <v/>
      </c>
      <c r="U40" s="50">
        <f>SUMIFS(Upis_stavki!K:K,Upis_stavki!H:H,Stanje[[#This Row],[Šifra motora]],Upis_stavki!J:J,"Ulaz")</f>
        <v>0</v>
      </c>
      <c r="V40" s="25">
        <f>SUMIFS(Upis_stavki!K:K,Upis_stavki!H:H,Stanje[[#This Row],[Šifra motora]],Upis_stavki!J:J,"Montirano")</f>
        <v>0</v>
      </c>
      <c r="W40" s="25">
        <f>SUMIFS(Upis_stavki!K:K,Upis_stavki!H:H,Stanje[[#This Row],[Šifra motora]],Upis_stavki!J:J,"Prodano")</f>
        <v>0</v>
      </c>
      <c r="X40" s="50" t="str">
        <f>IFERROR(VLOOKUP(Stanje[[#This Row],[Šifra motora]],baza_motora[],3,FALSE),"")</f>
        <v/>
      </c>
      <c r="Y40" s="50" t="str">
        <f>IFERROR(Stanje[[#This Row],[Početan broj motora]]-Stanje[[#This Row],[Broj montiranih motora]]+Stanje[[#This Row],[Broj ulaza motora]],"")</f>
        <v/>
      </c>
      <c r="Z40" s="25" t="str">
        <f>IFERROR(Stanje[[#This Row],[Početan broj motora]]-Stanje[[#This Row],[Broj prodanih motora]]-Stanje[[#This Row],[Broj montiranih motora]]+Stanje[[#This Row],[Broj ulaza motora]],"")</f>
        <v/>
      </c>
    </row>
    <row r="41" spans="1:26" x14ac:dyDescent="0.35">
      <c r="A41" s="51">
        <v>44630</v>
      </c>
      <c r="B41" s="25">
        <f>IFERROR(IF(ISBLANK(Ulaz_izlaz[[#This Row],[Šifra proizvoda vrata]]),"",Ulaz_izlaz[[#This Row],[Šifra proizvoda vrata]]),"")</f>
        <v>43</v>
      </c>
      <c r="C41" s="25" t="str">
        <f>IFERROR(VLOOKUP(Stanje[[#This Row],[Šifra Vrata]],Vrata[],2,FALSE),"")</f>
        <v>2750 X 2250</v>
      </c>
      <c r="D41" s="25" t="str">
        <f>IFERROR(VLOOKUP(Stanje[[#This Row],[Šifra Vrata]],Vrata[],3,FALSE),"")</f>
        <v>RAL 7016 PLAN</v>
      </c>
      <c r="E41" s="25">
        <f>SUMIFS(Upis_stavki!M:M,Upis_stavki!B:B,Stanje[[#This Row],[Šifra Vrata]],Upis_stavki!J:J,"Ulaz")</f>
        <v>0</v>
      </c>
      <c r="F41" s="50">
        <f>SUMIFS(Upis_stavki!M:M,Upis_stavki!B:B,Stanje[[#This Row],[Šifra Vrata]],Upis_stavki!J:J,"Montirano")</f>
        <v>0</v>
      </c>
      <c r="G41" s="50">
        <f>SUMIFS(Upis_stavki!M:M,Upis_stavki!B:B,Stanje[[#This Row],[Šifra Vrata]],Upis_stavki!J:J,"Prodano")</f>
        <v>1</v>
      </c>
      <c r="H41" s="25">
        <f>IFERROR(VLOOKUP(Stanje[[#This Row],[Šifra Vrata]],Vrata[],4,FALSE),"")</f>
        <v>0</v>
      </c>
      <c r="I41" s="25">
        <f>IFERROR(Stanje[[#This Row],[Početan broj vrata]]-Stanje[[#This Row],[Broj montiranih Vrata]]+Stanje[[#This Row],[Broj ulaza Vrata]],"")</f>
        <v>0</v>
      </c>
      <c r="J41" s="25">
        <f>IFERROR(Stanje[[#This Row],[Početan broj vrata]]-Stanje[[#This Row],[Broj prodanih Vrata]]-Stanje[[#This Row],[Broj montiranih Vrata]]+Stanje[[#This Row],[Broj ulaza Vrata]],"")</f>
        <v>-1</v>
      </c>
      <c r="K41" s="45"/>
      <c r="L41" s="50" t="str">
        <f>IFERROR(IF(ISBLANK(Ulaz_izlaz[[#This Row],[Šifra vodilice]]),"",Ulaz_izlaz[[#This Row],[Šifra vodilice]]),"")</f>
        <v/>
      </c>
      <c r="M41" s="50">
        <f>SUMIFS(Upis_stavki!L:L,Upis_stavki!F:F,Stanje[[#This Row],[Šifra vodilica]],Upis_stavki!J:J,"Ulaz")</f>
        <v>0</v>
      </c>
      <c r="N41" s="50">
        <f>SUMIFS(Upis_stavki!L:L,Upis_stavki!F:F,Stanje[[#This Row],[Šifra vodilica]],Upis_stavki!J:J,"Montirano")</f>
        <v>0</v>
      </c>
      <c r="O41" s="25">
        <f>SUMIFS(Upis_stavki!L:L,Upis_stavki!F:F,Stanje[[#This Row],[Šifra vodilica]],Upis_stavki!J:J,"Prodano")</f>
        <v>0</v>
      </c>
      <c r="P41" s="25" t="str">
        <f>IFERROR(VLOOKUP(Stanje[[#This Row],[Šifra vodilica]],baza_vodilica[],3,FALSE),"")</f>
        <v/>
      </c>
      <c r="Q41" s="25" t="str">
        <f>IFERROR(Stanje[[#This Row],[Početan broj vodilica]]-Stanje[[#This Row],[Broj montiranih vodilica]]+Stanje[[#This Row],[Broj ulaza vodilica]],"")</f>
        <v/>
      </c>
      <c r="R41" s="25" t="str">
        <f>IFERROR(Stanje[[#This Row],[Početan broj vodilica]]-Stanje[[#This Row],[Broj prodanih vodilica]]-Stanje[[#This Row],[Broj montiranih vodilica]]+Stanje[[#This Row],[Broj ulaza vodilica]],"")</f>
        <v/>
      </c>
      <c r="S41" s="45"/>
      <c r="T41" s="25" t="str">
        <f>IFERROR(IF(ISBLANK(Ulaz_izlaz[[#This Row],[Šifra motora]]),"",Ulaz_izlaz[[#This Row],[Šifra motora]]),"")</f>
        <v/>
      </c>
      <c r="U41" s="50">
        <f>SUMIFS(Upis_stavki!K:K,Upis_stavki!H:H,Stanje[[#This Row],[Šifra motora]],Upis_stavki!J:J,"Ulaz")</f>
        <v>0</v>
      </c>
      <c r="V41" s="25">
        <f>SUMIFS(Upis_stavki!K:K,Upis_stavki!H:H,Stanje[[#This Row],[Šifra motora]],Upis_stavki!J:J,"Montirano")</f>
        <v>0</v>
      </c>
      <c r="W41" s="25">
        <f>SUMIFS(Upis_stavki!K:K,Upis_stavki!H:H,Stanje[[#This Row],[Šifra motora]],Upis_stavki!J:J,"Prodano")</f>
        <v>0</v>
      </c>
      <c r="X41" s="50" t="str">
        <f>IFERROR(VLOOKUP(Stanje[[#This Row],[Šifra motora]],baza_motora[],3,FALSE),"")</f>
        <v/>
      </c>
      <c r="Y41" s="50" t="str">
        <f>IFERROR(Stanje[[#This Row],[Početan broj motora]]-Stanje[[#This Row],[Broj montiranih motora]]+Stanje[[#This Row],[Broj ulaza motora]],"")</f>
        <v/>
      </c>
      <c r="Z41" s="25" t="str">
        <f>IFERROR(Stanje[[#This Row],[Početan broj motora]]-Stanje[[#This Row],[Broj prodanih motora]]-Stanje[[#This Row],[Broj montiranih motora]]+Stanje[[#This Row],[Broj ulaza motora]],"")</f>
        <v/>
      </c>
    </row>
    <row r="42" spans="1:26" x14ac:dyDescent="0.35">
      <c r="A42" s="51">
        <v>44630</v>
      </c>
      <c r="B42" s="25">
        <f>IFERROR(IF(ISBLANK(Ulaz_izlaz[[#This Row],[Šifra proizvoda vrata]]),"",Ulaz_izlaz[[#This Row],[Šifra proizvoda vrata]]),"")</f>
        <v>57</v>
      </c>
      <c r="C42" s="25" t="str">
        <f>IFERROR(VLOOKUP(Stanje[[#This Row],[Šifra Vrata]],Vrata[],2,FALSE),"")</f>
        <v>3000 X 2125</v>
      </c>
      <c r="D42" s="25" t="str">
        <f>IFERROR(VLOOKUP(Stanje[[#This Row],[Šifra Vrata]],Vrata[],3,FALSE),"")</f>
        <v>DARK OAK</v>
      </c>
      <c r="E42" s="25">
        <f>SUMIFS(Upis_stavki!M:M,Upis_stavki!B:B,Stanje[[#This Row],[Šifra Vrata]],Upis_stavki!J:J,"Ulaz")</f>
        <v>0</v>
      </c>
      <c r="F42" s="50">
        <f>SUMIFS(Upis_stavki!M:M,Upis_stavki!B:B,Stanje[[#This Row],[Šifra Vrata]],Upis_stavki!J:J,"Montirano")</f>
        <v>0</v>
      </c>
      <c r="G42" s="50">
        <f>SUMIFS(Upis_stavki!M:M,Upis_stavki!B:B,Stanje[[#This Row],[Šifra Vrata]],Upis_stavki!J:J,"Prodano")</f>
        <v>3</v>
      </c>
      <c r="H42" s="25">
        <f>IFERROR(VLOOKUP(Stanje[[#This Row],[Šifra Vrata]],Vrata[],4,FALSE),"")</f>
        <v>0</v>
      </c>
      <c r="I42" s="25">
        <f>IFERROR(Stanje[[#This Row],[Početan broj vrata]]-Stanje[[#This Row],[Broj montiranih Vrata]]+Stanje[[#This Row],[Broj ulaza Vrata]],"")</f>
        <v>0</v>
      </c>
      <c r="J42" s="25">
        <f>IFERROR(Stanje[[#This Row],[Početan broj vrata]]-Stanje[[#This Row],[Broj prodanih Vrata]]-Stanje[[#This Row],[Broj montiranih Vrata]]+Stanje[[#This Row],[Broj ulaza Vrata]],"")</f>
        <v>-3</v>
      </c>
      <c r="K42" s="45"/>
      <c r="L42" s="50" t="str">
        <f>IFERROR(IF(ISBLANK(Ulaz_izlaz[[#This Row],[Šifra vodilice]]),"",Ulaz_izlaz[[#This Row],[Šifra vodilice]]),"")</f>
        <v/>
      </c>
      <c r="M42" s="50">
        <f>SUMIFS(Upis_stavki!L:L,Upis_stavki!F:F,Stanje[[#This Row],[Šifra vodilica]],Upis_stavki!J:J,"Ulaz")</f>
        <v>0</v>
      </c>
      <c r="N42" s="50">
        <f>SUMIFS(Upis_stavki!L:L,Upis_stavki!F:F,Stanje[[#This Row],[Šifra vodilica]],Upis_stavki!J:J,"Montirano")</f>
        <v>0</v>
      </c>
      <c r="O42" s="25">
        <f>SUMIFS(Upis_stavki!L:L,Upis_stavki!F:F,Stanje[[#This Row],[Šifra vodilica]],Upis_stavki!J:J,"Prodano")</f>
        <v>0</v>
      </c>
      <c r="P42" s="25" t="str">
        <f>IFERROR(VLOOKUP(Stanje[[#This Row],[Šifra vodilica]],baza_vodilica[],3,FALSE),"")</f>
        <v/>
      </c>
      <c r="Q42" s="25" t="str">
        <f>IFERROR(Stanje[[#This Row],[Početan broj vodilica]]-Stanje[[#This Row],[Broj montiranih vodilica]]+Stanje[[#This Row],[Broj ulaza vodilica]],"")</f>
        <v/>
      </c>
      <c r="R42" s="25" t="str">
        <f>IFERROR(Stanje[[#This Row],[Početan broj vodilica]]-Stanje[[#This Row],[Broj prodanih vodilica]]-Stanje[[#This Row],[Broj montiranih vodilica]]+Stanje[[#This Row],[Broj ulaza vodilica]],"")</f>
        <v/>
      </c>
      <c r="S42" s="45"/>
      <c r="T42" s="25" t="str">
        <f>IFERROR(IF(ISBLANK(Ulaz_izlaz[[#This Row],[Šifra motora]]),"",Ulaz_izlaz[[#This Row],[Šifra motora]]),"")</f>
        <v/>
      </c>
      <c r="U42" s="50">
        <f>SUMIFS(Upis_stavki!K:K,Upis_stavki!H:H,Stanje[[#This Row],[Šifra motora]],Upis_stavki!J:J,"Ulaz")</f>
        <v>0</v>
      </c>
      <c r="V42" s="25">
        <f>SUMIFS(Upis_stavki!K:K,Upis_stavki!H:H,Stanje[[#This Row],[Šifra motora]],Upis_stavki!J:J,"Montirano")</f>
        <v>0</v>
      </c>
      <c r="W42" s="25">
        <f>SUMIFS(Upis_stavki!K:K,Upis_stavki!H:H,Stanje[[#This Row],[Šifra motora]],Upis_stavki!J:J,"Prodano")</f>
        <v>0</v>
      </c>
      <c r="X42" s="50" t="str">
        <f>IFERROR(VLOOKUP(Stanje[[#This Row],[Šifra motora]],baza_motora[],3,FALSE),"")</f>
        <v/>
      </c>
      <c r="Y42" s="50" t="str">
        <f>IFERROR(Stanje[[#This Row],[Početan broj motora]]-Stanje[[#This Row],[Broj montiranih motora]]+Stanje[[#This Row],[Broj ulaza motora]],"")</f>
        <v/>
      </c>
      <c r="Z42" s="25" t="str">
        <f>IFERROR(Stanje[[#This Row],[Početan broj motora]]-Stanje[[#This Row],[Broj prodanih motora]]-Stanje[[#This Row],[Broj montiranih motora]]+Stanje[[#This Row],[Broj ulaza motora]],"")</f>
        <v/>
      </c>
    </row>
    <row r="43" spans="1:26" x14ac:dyDescent="0.35">
      <c r="A43" s="51">
        <v>44630</v>
      </c>
      <c r="B43" s="25">
        <f>IFERROR(IF(ISBLANK(Ulaz_izlaz[[#This Row],[Šifra proizvoda vrata]]),"",Ulaz_izlaz[[#This Row],[Šifra proizvoda vrata]]),"")</f>
        <v>59</v>
      </c>
      <c r="C43" s="25" t="str">
        <f>IFERROR(VLOOKUP(Stanje[[#This Row],[Šifra Vrata]],Vrata[],2,FALSE),"")</f>
        <v>2500 X 2250</v>
      </c>
      <c r="D43" s="25" t="str">
        <f>IFERROR(VLOOKUP(Stanje[[#This Row],[Šifra Vrata]],Vrata[],3,FALSE),"")</f>
        <v>DARK OAK</v>
      </c>
      <c r="E43" s="25">
        <f>SUMIFS(Upis_stavki!M:M,Upis_stavki!B:B,Stanje[[#This Row],[Šifra Vrata]],Upis_stavki!J:J,"Ulaz")</f>
        <v>0</v>
      </c>
      <c r="F43" s="50">
        <f>SUMIFS(Upis_stavki!M:M,Upis_stavki!B:B,Stanje[[#This Row],[Šifra Vrata]],Upis_stavki!J:J,"Montirano")</f>
        <v>0</v>
      </c>
      <c r="G43" s="50">
        <f>SUMIFS(Upis_stavki!M:M,Upis_stavki!B:B,Stanje[[#This Row],[Šifra Vrata]],Upis_stavki!J:J,"Prodano")</f>
        <v>1</v>
      </c>
      <c r="H43" s="25">
        <f>IFERROR(VLOOKUP(Stanje[[#This Row],[Šifra Vrata]],Vrata[],4,FALSE),"")</f>
        <v>0</v>
      </c>
      <c r="I43" s="25">
        <f>IFERROR(Stanje[[#This Row],[Početan broj vrata]]-Stanje[[#This Row],[Broj montiranih Vrata]]+Stanje[[#This Row],[Broj ulaza Vrata]],"")</f>
        <v>0</v>
      </c>
      <c r="J43" s="25">
        <f>IFERROR(Stanje[[#This Row],[Početan broj vrata]]-Stanje[[#This Row],[Broj prodanih Vrata]]-Stanje[[#This Row],[Broj montiranih Vrata]]+Stanje[[#This Row],[Broj ulaza Vrata]],"")</f>
        <v>-1</v>
      </c>
      <c r="K43" s="45"/>
      <c r="L43" s="50" t="str">
        <f>IFERROR(IF(ISBLANK(Ulaz_izlaz[[#This Row],[Šifra vodilice]]),"",Ulaz_izlaz[[#This Row],[Šifra vodilice]]),"")</f>
        <v/>
      </c>
      <c r="M43" s="50">
        <f>SUMIFS(Upis_stavki!L:L,Upis_stavki!F:F,Stanje[[#This Row],[Šifra vodilica]],Upis_stavki!J:J,"Ulaz")</f>
        <v>0</v>
      </c>
      <c r="N43" s="50">
        <f>SUMIFS(Upis_stavki!L:L,Upis_stavki!F:F,Stanje[[#This Row],[Šifra vodilica]],Upis_stavki!J:J,"Montirano")</f>
        <v>0</v>
      </c>
      <c r="O43" s="25">
        <f>SUMIFS(Upis_stavki!L:L,Upis_stavki!F:F,Stanje[[#This Row],[Šifra vodilica]],Upis_stavki!J:J,"Prodano")</f>
        <v>0</v>
      </c>
      <c r="P43" s="25" t="str">
        <f>IFERROR(VLOOKUP(Stanje[[#This Row],[Šifra vodilica]],baza_vodilica[],3,FALSE),"")</f>
        <v/>
      </c>
      <c r="Q43" s="25" t="str">
        <f>IFERROR(Stanje[[#This Row],[Početan broj vodilica]]-Stanje[[#This Row],[Broj montiranih vodilica]]+Stanje[[#This Row],[Broj ulaza vodilica]],"")</f>
        <v/>
      </c>
      <c r="R43" s="25" t="str">
        <f>IFERROR(Stanje[[#This Row],[Početan broj vodilica]]-Stanje[[#This Row],[Broj prodanih vodilica]]-Stanje[[#This Row],[Broj montiranih vodilica]]+Stanje[[#This Row],[Broj ulaza vodilica]],"")</f>
        <v/>
      </c>
      <c r="S43" s="45"/>
      <c r="T43" s="25" t="str">
        <f>IFERROR(IF(ISBLANK(Ulaz_izlaz[[#This Row],[Šifra motora]]),"",Ulaz_izlaz[[#This Row],[Šifra motora]]),"")</f>
        <v/>
      </c>
      <c r="U43" s="50">
        <f>SUMIFS(Upis_stavki!K:K,Upis_stavki!H:H,Stanje[[#This Row],[Šifra motora]],Upis_stavki!J:J,"Ulaz")</f>
        <v>0</v>
      </c>
      <c r="V43" s="25">
        <f>SUMIFS(Upis_stavki!K:K,Upis_stavki!H:H,Stanje[[#This Row],[Šifra motora]],Upis_stavki!J:J,"Montirano")</f>
        <v>0</v>
      </c>
      <c r="W43" s="25">
        <f>SUMIFS(Upis_stavki!K:K,Upis_stavki!H:H,Stanje[[#This Row],[Šifra motora]],Upis_stavki!J:J,"Prodano")</f>
        <v>0</v>
      </c>
      <c r="X43" s="50" t="str">
        <f>IFERROR(VLOOKUP(Stanje[[#This Row],[Šifra motora]],baza_motora[],3,FALSE),"")</f>
        <v/>
      </c>
      <c r="Y43" s="50" t="str">
        <f>IFERROR(Stanje[[#This Row],[Početan broj motora]]-Stanje[[#This Row],[Broj montiranih motora]]+Stanje[[#This Row],[Broj ulaza motora]],"")</f>
        <v/>
      </c>
      <c r="Z43" s="25" t="str">
        <f>IFERROR(Stanje[[#This Row],[Početan broj motora]]-Stanje[[#This Row],[Broj prodanih motora]]-Stanje[[#This Row],[Broj montiranih motora]]+Stanje[[#This Row],[Broj ulaza motora]],"")</f>
        <v/>
      </c>
    </row>
    <row r="44" spans="1:26" x14ac:dyDescent="0.35">
      <c r="A44" s="51">
        <v>44630</v>
      </c>
      <c r="B44" s="25">
        <f>IFERROR(IF(ISBLANK(Ulaz_izlaz[[#This Row],[Šifra proizvoda vrata]]),"",Ulaz_izlaz[[#This Row],[Šifra proizvoda vrata]]),"")</f>
        <v>55</v>
      </c>
      <c r="C44" s="25" t="str">
        <f>IFERROR(VLOOKUP(Stanje[[#This Row],[Šifra Vrata]],Vrata[],2,FALSE),"")</f>
        <v>2500 X 2125</v>
      </c>
      <c r="D44" s="25" t="str">
        <f>IFERROR(VLOOKUP(Stanje[[#This Row],[Šifra Vrata]],Vrata[],3,FALSE),"")</f>
        <v>DARK OAK</v>
      </c>
      <c r="E44" s="25">
        <f>SUMIFS(Upis_stavki!M:M,Upis_stavki!B:B,Stanje[[#This Row],[Šifra Vrata]],Upis_stavki!J:J,"Ulaz")</f>
        <v>0</v>
      </c>
      <c r="F44" s="50">
        <f>SUMIFS(Upis_stavki!M:M,Upis_stavki!B:B,Stanje[[#This Row],[Šifra Vrata]],Upis_stavki!J:J,"Montirano")</f>
        <v>0</v>
      </c>
      <c r="G44" s="50">
        <f>SUMIFS(Upis_stavki!M:M,Upis_stavki!B:B,Stanje[[#This Row],[Šifra Vrata]],Upis_stavki!J:J,"Prodano")</f>
        <v>1</v>
      </c>
      <c r="H44" s="25">
        <f>IFERROR(VLOOKUP(Stanje[[#This Row],[Šifra Vrata]],Vrata[],4,FALSE),"")</f>
        <v>0</v>
      </c>
      <c r="I44" s="25">
        <f>IFERROR(Stanje[[#This Row],[Početan broj vrata]]-Stanje[[#This Row],[Broj montiranih Vrata]]+Stanje[[#This Row],[Broj ulaza Vrata]],"")</f>
        <v>0</v>
      </c>
      <c r="J44" s="25">
        <f>IFERROR(Stanje[[#This Row],[Početan broj vrata]]-Stanje[[#This Row],[Broj prodanih Vrata]]-Stanje[[#This Row],[Broj montiranih Vrata]]+Stanje[[#This Row],[Broj ulaza Vrata]],"")</f>
        <v>-1</v>
      </c>
      <c r="K44" s="45"/>
      <c r="L44" s="50" t="str">
        <f>IFERROR(IF(ISBLANK(Ulaz_izlaz[[#This Row],[Šifra vodilice]]),"",Ulaz_izlaz[[#This Row],[Šifra vodilice]]),"")</f>
        <v/>
      </c>
      <c r="M44" s="50">
        <f>SUMIFS(Upis_stavki!L:L,Upis_stavki!F:F,Stanje[[#This Row],[Šifra vodilica]],Upis_stavki!J:J,"Ulaz")</f>
        <v>0</v>
      </c>
      <c r="N44" s="50">
        <f>SUMIFS(Upis_stavki!L:L,Upis_stavki!F:F,Stanje[[#This Row],[Šifra vodilica]],Upis_stavki!J:J,"Montirano")</f>
        <v>0</v>
      </c>
      <c r="O44" s="25">
        <f>SUMIFS(Upis_stavki!L:L,Upis_stavki!F:F,Stanje[[#This Row],[Šifra vodilica]],Upis_stavki!J:J,"Prodano")</f>
        <v>0</v>
      </c>
      <c r="P44" s="25" t="str">
        <f>IFERROR(VLOOKUP(Stanje[[#This Row],[Šifra vodilica]],baza_vodilica[],3,FALSE),"")</f>
        <v/>
      </c>
      <c r="Q44" s="25" t="str">
        <f>IFERROR(Stanje[[#This Row],[Početan broj vodilica]]-Stanje[[#This Row],[Broj montiranih vodilica]]+Stanje[[#This Row],[Broj ulaza vodilica]],"")</f>
        <v/>
      </c>
      <c r="R44" s="25" t="str">
        <f>IFERROR(Stanje[[#This Row],[Početan broj vodilica]]-Stanje[[#This Row],[Broj prodanih vodilica]]-Stanje[[#This Row],[Broj montiranih vodilica]]+Stanje[[#This Row],[Broj ulaza vodilica]],"")</f>
        <v/>
      </c>
      <c r="S44" s="45"/>
      <c r="T44" s="25" t="str">
        <f>IFERROR(IF(ISBLANK(Ulaz_izlaz[[#This Row],[Šifra motora]]),"",Ulaz_izlaz[[#This Row],[Šifra motora]]),"")</f>
        <v/>
      </c>
      <c r="U44" s="50">
        <f>SUMIFS(Upis_stavki!K:K,Upis_stavki!H:H,Stanje[[#This Row],[Šifra motora]],Upis_stavki!J:J,"Ulaz")</f>
        <v>0</v>
      </c>
      <c r="V44" s="25">
        <f>SUMIFS(Upis_stavki!K:K,Upis_stavki!H:H,Stanje[[#This Row],[Šifra motora]],Upis_stavki!J:J,"Montirano")</f>
        <v>0</v>
      </c>
      <c r="W44" s="25">
        <f>SUMIFS(Upis_stavki!K:K,Upis_stavki!H:H,Stanje[[#This Row],[Šifra motora]],Upis_stavki!J:J,"Prodano")</f>
        <v>0</v>
      </c>
      <c r="X44" s="50" t="str">
        <f>IFERROR(VLOOKUP(Stanje[[#This Row],[Šifra motora]],baza_motora[],3,FALSE),"")</f>
        <v/>
      </c>
      <c r="Y44" s="50" t="str">
        <f>IFERROR(Stanje[[#This Row],[Početan broj motora]]-Stanje[[#This Row],[Broj montiranih motora]]+Stanje[[#This Row],[Broj ulaza motora]],"")</f>
        <v/>
      </c>
      <c r="Z44" s="25" t="str">
        <f>IFERROR(Stanje[[#This Row],[Početan broj motora]]-Stanje[[#This Row],[Broj prodanih motora]]-Stanje[[#This Row],[Broj montiranih motora]]+Stanje[[#This Row],[Broj ulaza motora]],"")</f>
        <v/>
      </c>
    </row>
    <row r="45" spans="1:26" x14ac:dyDescent="0.35">
      <c r="A45" s="51">
        <v>44630</v>
      </c>
      <c r="B45" s="25">
        <f>IFERROR(IF(ISBLANK(Ulaz_izlaz[[#This Row],[Šifra proizvoda vrata]]),"",Ulaz_izlaz[[#This Row],[Šifra proizvoda vrata]]),"")</f>
        <v>0</v>
      </c>
      <c r="C45" s="25" t="str">
        <f>IFERROR(VLOOKUP(Stanje[[#This Row],[Šifra Vrata]],Vrata[],2,FALSE),"")</f>
        <v/>
      </c>
      <c r="D45" s="25" t="str">
        <f>IFERROR(VLOOKUP(Stanje[[#This Row],[Šifra Vrata]],Vrata[],3,FALSE),"")</f>
        <v/>
      </c>
      <c r="E45" s="25">
        <f>SUMIFS(Upis_stavki!M:M,Upis_stavki!B:B,Stanje[[#This Row],[Šifra Vrata]],Upis_stavki!J:J,"Ulaz")</f>
        <v>0</v>
      </c>
      <c r="F45" s="50">
        <f>SUMIFS(Upis_stavki!M:M,Upis_stavki!B:B,Stanje[[#This Row],[Šifra Vrata]],Upis_stavki!J:J,"Montirano")</f>
        <v>0</v>
      </c>
      <c r="G45" s="50">
        <f>SUMIFS(Upis_stavki!M:M,Upis_stavki!B:B,Stanje[[#This Row],[Šifra Vrata]],Upis_stavki!J:J,"Prodano")</f>
        <v>0</v>
      </c>
      <c r="H45" s="25" t="str">
        <f>IFERROR(VLOOKUP(Stanje[[#This Row],[Šifra Vrata]],Vrata[],4,FALSE),"")</f>
        <v/>
      </c>
      <c r="I45" s="25" t="str">
        <f>IFERROR(Stanje[[#This Row],[Početan broj vrata]]-Stanje[[#This Row],[Broj montiranih Vrata]]+Stanje[[#This Row],[Broj ulaza Vrata]],"")</f>
        <v/>
      </c>
      <c r="J45" s="25" t="str">
        <f>IFERROR(Stanje[[#This Row],[Početan broj vrata]]-Stanje[[#This Row],[Broj prodanih Vrata]]-Stanje[[#This Row],[Broj montiranih Vrata]]+Stanje[[#This Row],[Broj ulaza Vrata]],"")</f>
        <v/>
      </c>
      <c r="K45" s="45"/>
      <c r="L45" s="50" t="str">
        <f>IFERROR(IF(ISBLANK(Ulaz_izlaz[[#This Row],[Šifra vodilice]]),"",Ulaz_izlaz[[#This Row],[Šifra vodilice]]),"")</f>
        <v/>
      </c>
      <c r="M45" s="50">
        <f>SUMIFS(Upis_stavki!L:L,Upis_stavki!F:F,Stanje[[#This Row],[Šifra vodilica]],Upis_stavki!J:J,"Ulaz")</f>
        <v>0</v>
      </c>
      <c r="N45" s="50">
        <f>SUMIFS(Upis_stavki!L:L,Upis_stavki!F:F,Stanje[[#This Row],[Šifra vodilica]],Upis_stavki!J:J,"Montirano")</f>
        <v>0</v>
      </c>
      <c r="O45" s="25">
        <f>SUMIFS(Upis_stavki!L:L,Upis_stavki!F:F,Stanje[[#This Row],[Šifra vodilica]],Upis_stavki!J:J,"Prodano")</f>
        <v>0</v>
      </c>
      <c r="P45" s="25" t="str">
        <f>IFERROR(VLOOKUP(Stanje[[#This Row],[Šifra vodilica]],baza_vodilica[],3,FALSE),"")</f>
        <v/>
      </c>
      <c r="Q45" s="25" t="str">
        <f>IFERROR(Stanje[[#This Row],[Početan broj vodilica]]-Stanje[[#This Row],[Broj montiranih vodilica]]+Stanje[[#This Row],[Broj ulaza vodilica]],"")</f>
        <v/>
      </c>
      <c r="R45" s="25" t="str">
        <f>IFERROR(Stanje[[#This Row],[Početan broj vodilica]]-Stanje[[#This Row],[Broj prodanih vodilica]]-Stanje[[#This Row],[Broj montiranih vodilica]]+Stanje[[#This Row],[Broj ulaza vodilica]],"")</f>
        <v/>
      </c>
      <c r="S45" s="45"/>
      <c r="T45" s="25" t="str">
        <f>IFERROR(IF(ISBLANK(Ulaz_izlaz[[#This Row],[Šifra motora]]),"",Ulaz_izlaz[[#This Row],[Šifra motora]]),"")</f>
        <v>M7</v>
      </c>
      <c r="U45" s="50">
        <f>SUMIFS(Upis_stavki!K:K,Upis_stavki!H:H,Stanje[[#This Row],[Šifra motora]],Upis_stavki!J:J,"Ulaz")</f>
        <v>0</v>
      </c>
      <c r="V45" s="25">
        <f>SUMIFS(Upis_stavki!K:K,Upis_stavki!H:H,Stanje[[#This Row],[Šifra motora]],Upis_stavki!J:J,"Montirano")</f>
        <v>2</v>
      </c>
      <c r="W45" s="25">
        <f>SUMIFS(Upis_stavki!K:K,Upis_stavki!H:H,Stanje[[#This Row],[Šifra motora]],Upis_stavki!J:J,"Prodano")</f>
        <v>3</v>
      </c>
      <c r="X45" s="50">
        <f>IFERROR(VLOOKUP(Stanje[[#This Row],[Šifra motora]],baza_motora[],3,FALSE),"")</f>
        <v>6</v>
      </c>
      <c r="Y45" s="50">
        <f>IFERROR(Stanje[[#This Row],[Početan broj motora]]-Stanje[[#This Row],[Broj montiranih motora]]+Stanje[[#This Row],[Broj ulaza motora]],"")</f>
        <v>4</v>
      </c>
      <c r="Z45" s="25">
        <f>IFERROR(Stanje[[#This Row],[Početan broj motora]]-Stanje[[#This Row],[Broj prodanih motora]]-Stanje[[#This Row],[Broj montiranih motora]]+Stanje[[#This Row],[Broj ulaza motora]],"")</f>
        <v>1</v>
      </c>
    </row>
    <row r="46" spans="1:26" x14ac:dyDescent="0.35">
      <c r="A46" s="51">
        <v>44630</v>
      </c>
      <c r="B46" s="25" t="str">
        <f>IFERROR(IF(ISBLANK(Ulaz_izlaz[[#This Row],[Šifra proizvoda vrata]]),"",Ulaz_izlaz[[#This Row],[Šifra proizvoda vrata]]),"")</f>
        <v/>
      </c>
      <c r="C46" s="25" t="str">
        <f>IFERROR(VLOOKUP(Stanje[[#This Row],[Šifra Vrata]],Vrata[],2,FALSE),"")</f>
        <v/>
      </c>
      <c r="D46" s="25" t="str">
        <f>IFERROR(VLOOKUP(Stanje[[#This Row],[Šifra Vrata]],Vrata[],3,FALSE),"")</f>
        <v/>
      </c>
      <c r="E46" s="25">
        <f>SUMIFS(Upis_stavki!M:M,Upis_stavki!B:B,Stanje[[#This Row],[Šifra Vrata]],Upis_stavki!J:J,"Ulaz")</f>
        <v>0</v>
      </c>
      <c r="F46" s="50">
        <f>SUMIFS(Upis_stavki!M:M,Upis_stavki!B:B,Stanje[[#This Row],[Šifra Vrata]],Upis_stavki!J:J,"Montirano")</f>
        <v>0</v>
      </c>
      <c r="G46" s="50">
        <f>SUMIFS(Upis_stavki!M:M,Upis_stavki!B:B,Stanje[[#This Row],[Šifra Vrata]],Upis_stavki!J:J,"Prodano")</f>
        <v>0</v>
      </c>
      <c r="H46" s="25" t="str">
        <f>IFERROR(VLOOKUP(Stanje[[#This Row],[Šifra Vrata]],Vrata[],4,FALSE),"")</f>
        <v/>
      </c>
      <c r="I46" s="25" t="str">
        <f>IFERROR(Stanje[[#This Row],[Početan broj vrata]]-Stanje[[#This Row],[Broj montiranih Vrata]]+Stanje[[#This Row],[Broj ulaza Vrata]],"")</f>
        <v/>
      </c>
      <c r="J46" s="25" t="str">
        <f>IFERROR(Stanje[[#This Row],[Početan broj vrata]]-Stanje[[#This Row],[Broj prodanih Vrata]]-Stanje[[#This Row],[Broj montiranih Vrata]]+Stanje[[#This Row],[Broj ulaza Vrata]],"")</f>
        <v/>
      </c>
      <c r="K46" s="45"/>
      <c r="L46" s="50" t="str">
        <f>IFERROR(IF(ISBLANK(Ulaz_izlaz[[#This Row],[Šifra vodilice]]),"",Ulaz_izlaz[[#This Row],[Šifra vodilice]]),"")</f>
        <v/>
      </c>
      <c r="M46" s="50">
        <f>SUMIFS(Upis_stavki!L:L,Upis_stavki!F:F,Stanje[[#This Row],[Šifra vodilica]],Upis_stavki!J:J,"Ulaz")</f>
        <v>0</v>
      </c>
      <c r="N46" s="50">
        <f>SUMIFS(Upis_stavki!L:L,Upis_stavki!F:F,Stanje[[#This Row],[Šifra vodilica]],Upis_stavki!J:J,"Montirano")</f>
        <v>0</v>
      </c>
      <c r="O46" s="25">
        <f>SUMIFS(Upis_stavki!L:L,Upis_stavki!F:F,Stanje[[#This Row],[Šifra vodilica]],Upis_stavki!J:J,"Prodano")</f>
        <v>0</v>
      </c>
      <c r="P46" s="25" t="str">
        <f>IFERROR(VLOOKUP(Stanje[[#This Row],[Šifra vodilica]],baza_vodilica[],3,FALSE),"")</f>
        <v/>
      </c>
      <c r="Q46" s="25" t="str">
        <f>IFERROR(Stanje[[#This Row],[Početan broj vodilica]]-Stanje[[#This Row],[Broj montiranih vodilica]]+Stanje[[#This Row],[Broj ulaza vodilica]],"")</f>
        <v/>
      </c>
      <c r="R46" s="25" t="str">
        <f>IFERROR(Stanje[[#This Row],[Početan broj vodilica]]-Stanje[[#This Row],[Broj prodanih vodilica]]-Stanje[[#This Row],[Broj montiranih vodilica]]+Stanje[[#This Row],[Broj ulaza vodilica]],"")</f>
        <v/>
      </c>
      <c r="S46" s="45"/>
      <c r="T46" s="25" t="str">
        <f>IFERROR(IF(ISBLANK(Ulaz_izlaz[[#This Row],[Šifra motora]]),"",Ulaz_izlaz[[#This Row],[Šifra motora]]),"")</f>
        <v>M6</v>
      </c>
      <c r="U46" s="50">
        <f>SUMIFS(Upis_stavki!K:K,Upis_stavki!H:H,Stanje[[#This Row],[Šifra motora]],Upis_stavki!J:J,"Ulaz")</f>
        <v>0</v>
      </c>
      <c r="V46" s="25">
        <f>SUMIFS(Upis_stavki!K:K,Upis_stavki!H:H,Stanje[[#This Row],[Šifra motora]],Upis_stavki!J:J,"Montirano")</f>
        <v>0</v>
      </c>
      <c r="W46" s="25">
        <f>SUMIFS(Upis_stavki!K:K,Upis_stavki!H:H,Stanje[[#This Row],[Šifra motora]],Upis_stavki!J:J,"Prodano")</f>
        <v>1</v>
      </c>
      <c r="X46" s="50">
        <f>IFERROR(VLOOKUP(Stanje[[#This Row],[Šifra motora]],baza_motora[],3,FALSE),"")</f>
        <v>3</v>
      </c>
      <c r="Y46" s="50">
        <f>IFERROR(Stanje[[#This Row],[Početan broj motora]]-Stanje[[#This Row],[Broj montiranih motora]]+Stanje[[#This Row],[Broj ulaza motora]],"")</f>
        <v>3</v>
      </c>
      <c r="Z46" s="25">
        <f>IFERROR(Stanje[[#This Row],[Početan broj motora]]-Stanje[[#This Row],[Broj prodanih motora]]-Stanje[[#This Row],[Broj montiranih motora]]+Stanje[[#This Row],[Broj ulaza motora]],"")</f>
        <v>2</v>
      </c>
    </row>
    <row r="47" spans="1:26" x14ac:dyDescent="0.35">
      <c r="A47" s="51">
        <v>44630</v>
      </c>
      <c r="B47" s="25">
        <f>IFERROR(IF(ISBLANK(Ulaz_izlaz[[#This Row],[Šifra proizvoda vrata]]),"",Ulaz_izlaz[[#This Row],[Šifra proizvoda vrata]]),"")</f>
        <v>47</v>
      </c>
      <c r="C47" s="25" t="str">
        <f>IFERROR(VLOOKUP(Stanje[[#This Row],[Šifra Vrata]],Vrata[],2,FALSE),"")</f>
        <v>5000 X 2250</v>
      </c>
      <c r="D47" s="25" t="str">
        <f>IFERROR(VLOOKUP(Stanje[[#This Row],[Šifra Vrata]],Vrata[],3,FALSE),"")</f>
        <v>RAL 7016 PLAN</v>
      </c>
      <c r="E47" s="25">
        <f>SUMIFS(Upis_stavki!M:M,Upis_stavki!B:B,Stanje[[#This Row],[Šifra Vrata]],Upis_stavki!J:J,"Ulaz")</f>
        <v>0</v>
      </c>
      <c r="F47" s="50">
        <f>SUMIFS(Upis_stavki!M:M,Upis_stavki!B:B,Stanje[[#This Row],[Šifra Vrata]],Upis_stavki!J:J,"Montirano")</f>
        <v>0</v>
      </c>
      <c r="G47" s="50">
        <f>SUMIFS(Upis_stavki!M:M,Upis_stavki!B:B,Stanje[[#This Row],[Šifra Vrata]],Upis_stavki!J:J,"Prodano")</f>
        <v>4</v>
      </c>
      <c r="H47" s="25">
        <f>IFERROR(VLOOKUP(Stanje[[#This Row],[Šifra Vrata]],Vrata[],4,FALSE),"")</f>
        <v>11</v>
      </c>
      <c r="I47" s="25">
        <f>IFERROR(Stanje[[#This Row],[Početan broj vrata]]-Stanje[[#This Row],[Broj montiranih Vrata]]+Stanje[[#This Row],[Broj ulaza Vrata]],"")</f>
        <v>11</v>
      </c>
      <c r="J47" s="25">
        <f>IFERROR(Stanje[[#This Row],[Početan broj vrata]]-Stanje[[#This Row],[Broj prodanih Vrata]]-Stanje[[#This Row],[Broj montiranih Vrata]]+Stanje[[#This Row],[Broj ulaza Vrata]],"")</f>
        <v>7</v>
      </c>
      <c r="K47" s="45"/>
      <c r="L47" s="50" t="str">
        <f>IFERROR(IF(ISBLANK(Ulaz_izlaz[[#This Row],[Šifra vodilice]]),"",Ulaz_izlaz[[#This Row],[Šifra vodilice]]),"")</f>
        <v>V1</v>
      </c>
      <c r="M47" s="50">
        <f>SUMIFS(Upis_stavki!L:L,Upis_stavki!F:F,Stanje[[#This Row],[Šifra vodilica]],Upis_stavki!J:J,"Ulaz")</f>
        <v>0</v>
      </c>
      <c r="N47" s="50">
        <f>SUMIFS(Upis_stavki!L:L,Upis_stavki!F:F,Stanje[[#This Row],[Šifra vodilica]],Upis_stavki!J:J,"Montirano")</f>
        <v>1</v>
      </c>
      <c r="O47" s="25">
        <f>SUMIFS(Upis_stavki!L:L,Upis_stavki!F:F,Stanje[[#This Row],[Šifra vodilica]],Upis_stavki!J:J,"Prodano")</f>
        <v>14</v>
      </c>
      <c r="P47" s="25">
        <f>IFERROR(VLOOKUP(Stanje[[#This Row],[Šifra vodilica]],baza_vodilica[],3,FALSE),"")</f>
        <v>31</v>
      </c>
      <c r="Q47" s="25">
        <f>IFERROR(Stanje[[#This Row],[Početan broj vodilica]]-Stanje[[#This Row],[Broj montiranih vodilica]]+Stanje[[#This Row],[Broj ulaza vodilica]],"")</f>
        <v>30</v>
      </c>
      <c r="R47" s="25">
        <f>IFERROR(Stanje[[#This Row],[Početan broj vodilica]]-Stanje[[#This Row],[Broj prodanih vodilica]]-Stanje[[#This Row],[Broj montiranih vodilica]]+Stanje[[#This Row],[Broj ulaza vodilica]],"")</f>
        <v>16</v>
      </c>
      <c r="S47" s="45"/>
      <c r="T47" s="25" t="str">
        <f>IFERROR(IF(ISBLANK(Ulaz_izlaz[[#This Row],[Šifra motora]]),"",Ulaz_izlaz[[#This Row],[Šifra motora]]),"")</f>
        <v>M2</v>
      </c>
      <c r="U47" s="50">
        <f>SUMIFS(Upis_stavki!K:K,Upis_stavki!H:H,Stanje[[#This Row],[Šifra motora]],Upis_stavki!J:J,"Ulaz")</f>
        <v>0</v>
      </c>
      <c r="V47" s="25">
        <f>SUMIFS(Upis_stavki!K:K,Upis_stavki!H:H,Stanje[[#This Row],[Šifra motora]],Upis_stavki!J:J,"Montirano")</f>
        <v>0</v>
      </c>
      <c r="W47" s="25">
        <f>SUMIFS(Upis_stavki!K:K,Upis_stavki!H:H,Stanje[[#This Row],[Šifra motora]],Upis_stavki!J:J,"Prodano")</f>
        <v>13</v>
      </c>
      <c r="X47" s="50">
        <f>IFERROR(VLOOKUP(Stanje[[#This Row],[Šifra motora]],baza_motora[],3,FALSE),"")</f>
        <v>19</v>
      </c>
      <c r="Y47" s="50">
        <f>IFERROR(Stanje[[#This Row],[Početan broj motora]]-Stanje[[#This Row],[Broj montiranih motora]]+Stanje[[#This Row],[Broj ulaza motora]],"")</f>
        <v>19</v>
      </c>
      <c r="Z47" s="25">
        <f>IFERROR(Stanje[[#This Row],[Početan broj motora]]-Stanje[[#This Row],[Broj prodanih motora]]-Stanje[[#This Row],[Broj montiranih motora]]+Stanje[[#This Row],[Broj ulaza motora]],"")</f>
        <v>6</v>
      </c>
    </row>
    <row r="48" spans="1:26" x14ac:dyDescent="0.35">
      <c r="A48" s="51">
        <v>44630</v>
      </c>
      <c r="B48" s="25">
        <f>IFERROR(IF(ISBLANK(Ulaz_izlaz[[#This Row],[Šifra proizvoda vrata]]),"",Ulaz_izlaz[[#This Row],[Šifra proizvoda vrata]]),"")</f>
        <v>53</v>
      </c>
      <c r="C48" s="25" t="str">
        <f>IFERROR(VLOOKUP(Stanje[[#This Row],[Šifra Vrata]],Vrata[],2,FALSE),"")</f>
        <v>2500 X 2000</v>
      </c>
      <c r="D48" s="25" t="str">
        <f>IFERROR(VLOOKUP(Stanje[[#This Row],[Šifra Vrata]],Vrata[],3,FALSE),"")</f>
        <v>DARK OAK</v>
      </c>
      <c r="E48" s="25">
        <f>SUMIFS(Upis_stavki!M:M,Upis_stavki!B:B,Stanje[[#This Row],[Šifra Vrata]],Upis_stavki!J:J,"Ulaz")</f>
        <v>0</v>
      </c>
      <c r="F48" s="50">
        <f>SUMIFS(Upis_stavki!M:M,Upis_stavki!B:B,Stanje[[#This Row],[Šifra Vrata]],Upis_stavki!J:J,"Montirano")</f>
        <v>0</v>
      </c>
      <c r="G48" s="50">
        <f>SUMIFS(Upis_stavki!M:M,Upis_stavki!B:B,Stanje[[#This Row],[Šifra Vrata]],Upis_stavki!J:J,"Prodano")</f>
        <v>3</v>
      </c>
      <c r="H48" s="25">
        <f>IFERROR(VLOOKUP(Stanje[[#This Row],[Šifra Vrata]],Vrata[],4,FALSE),"")</f>
        <v>0</v>
      </c>
      <c r="I48" s="25">
        <f>IFERROR(Stanje[[#This Row],[Početan broj vrata]]-Stanje[[#This Row],[Broj montiranih Vrata]]+Stanje[[#This Row],[Broj ulaza Vrata]],"")</f>
        <v>0</v>
      </c>
      <c r="J48" s="25">
        <f>IFERROR(Stanje[[#This Row],[Početan broj vrata]]-Stanje[[#This Row],[Broj prodanih Vrata]]-Stanje[[#This Row],[Broj montiranih Vrata]]+Stanje[[#This Row],[Broj ulaza Vrata]],"")</f>
        <v>-3</v>
      </c>
      <c r="K48" s="45"/>
      <c r="L48" s="50" t="str">
        <f>IFERROR(IF(ISBLANK(Ulaz_izlaz[[#This Row],[Šifra vodilice]]),"",Ulaz_izlaz[[#This Row],[Šifra vodilice]]),"")</f>
        <v>V1</v>
      </c>
      <c r="M48" s="50">
        <f>SUMIFS(Upis_stavki!L:L,Upis_stavki!F:F,Stanje[[#This Row],[Šifra vodilica]],Upis_stavki!J:J,"Ulaz")</f>
        <v>0</v>
      </c>
      <c r="N48" s="50">
        <f>SUMIFS(Upis_stavki!L:L,Upis_stavki!F:F,Stanje[[#This Row],[Šifra vodilica]],Upis_stavki!J:J,"Montirano")</f>
        <v>1</v>
      </c>
      <c r="O48" s="25">
        <f>SUMIFS(Upis_stavki!L:L,Upis_stavki!F:F,Stanje[[#This Row],[Šifra vodilica]],Upis_stavki!J:J,"Prodano")</f>
        <v>14</v>
      </c>
      <c r="P48" s="25">
        <f>IFERROR(VLOOKUP(Stanje[[#This Row],[Šifra vodilica]],baza_vodilica[],3,FALSE),"")</f>
        <v>31</v>
      </c>
      <c r="Q48" s="25">
        <f>IFERROR(Stanje[[#This Row],[Početan broj vodilica]]-Stanje[[#This Row],[Broj montiranih vodilica]]+Stanje[[#This Row],[Broj ulaza vodilica]],"")</f>
        <v>30</v>
      </c>
      <c r="R48" s="25">
        <f>IFERROR(Stanje[[#This Row],[Početan broj vodilica]]-Stanje[[#This Row],[Broj prodanih vodilica]]-Stanje[[#This Row],[Broj montiranih vodilica]]+Stanje[[#This Row],[Broj ulaza vodilica]],"")</f>
        <v>16</v>
      </c>
      <c r="S48" s="45"/>
      <c r="T48" s="25" t="str">
        <f>IFERROR(IF(ISBLANK(Ulaz_izlaz[[#This Row],[Šifra motora]]),"",Ulaz_izlaz[[#This Row],[Šifra motora]]),"")</f>
        <v>M3</v>
      </c>
      <c r="U48" s="50">
        <f>SUMIFS(Upis_stavki!K:K,Upis_stavki!H:H,Stanje[[#This Row],[Šifra motora]],Upis_stavki!J:J,"Ulaz")</f>
        <v>0</v>
      </c>
      <c r="V48" s="25">
        <f>SUMIFS(Upis_stavki!K:K,Upis_stavki!H:H,Stanje[[#This Row],[Šifra motora]],Upis_stavki!J:J,"Montirano")</f>
        <v>0</v>
      </c>
      <c r="W48" s="25">
        <f>SUMIFS(Upis_stavki!K:K,Upis_stavki!H:H,Stanje[[#This Row],[Šifra motora]],Upis_stavki!J:J,"Prodano")</f>
        <v>3</v>
      </c>
      <c r="X48" s="50">
        <f>IFERROR(VLOOKUP(Stanje[[#This Row],[Šifra motora]],baza_motora[],3,FALSE),"")</f>
        <v>20</v>
      </c>
      <c r="Y48" s="50">
        <f>IFERROR(Stanje[[#This Row],[Početan broj motora]]-Stanje[[#This Row],[Broj montiranih motora]]+Stanje[[#This Row],[Broj ulaza motora]],"")</f>
        <v>20</v>
      </c>
      <c r="Z48" s="25">
        <f>IFERROR(Stanje[[#This Row],[Početan broj motora]]-Stanje[[#This Row],[Broj prodanih motora]]-Stanje[[#This Row],[Broj montiranih motora]]+Stanje[[#This Row],[Broj ulaza motora]],"")</f>
        <v>17</v>
      </c>
    </row>
    <row r="49" spans="1:26" x14ac:dyDescent="0.35">
      <c r="A49" s="51">
        <v>44630</v>
      </c>
      <c r="B49" s="25">
        <f>IFERROR(IF(ISBLANK(Ulaz_izlaz[[#This Row],[Šifra proizvoda vrata]]),"",Ulaz_izlaz[[#This Row],[Šifra proizvoda vrata]]),"")</f>
        <v>53</v>
      </c>
      <c r="C49" s="25" t="str">
        <f>IFERROR(VLOOKUP(Stanje[[#This Row],[Šifra Vrata]],Vrata[],2,FALSE),"")</f>
        <v>2500 X 2000</v>
      </c>
      <c r="D49" s="25" t="str">
        <f>IFERROR(VLOOKUP(Stanje[[#This Row],[Šifra Vrata]],Vrata[],3,FALSE),"")</f>
        <v>DARK OAK</v>
      </c>
      <c r="E49" s="25">
        <f>SUMIFS(Upis_stavki!M:M,Upis_stavki!B:B,Stanje[[#This Row],[Šifra Vrata]],Upis_stavki!J:J,"Ulaz")</f>
        <v>0</v>
      </c>
      <c r="F49" s="50">
        <f>SUMIFS(Upis_stavki!M:M,Upis_stavki!B:B,Stanje[[#This Row],[Šifra Vrata]],Upis_stavki!J:J,"Montirano")</f>
        <v>0</v>
      </c>
      <c r="G49" s="50">
        <f>SUMIFS(Upis_stavki!M:M,Upis_stavki!B:B,Stanje[[#This Row],[Šifra Vrata]],Upis_stavki!J:J,"Prodano")</f>
        <v>3</v>
      </c>
      <c r="H49" s="25">
        <f>IFERROR(VLOOKUP(Stanje[[#This Row],[Šifra Vrata]],Vrata[],4,FALSE),"")</f>
        <v>0</v>
      </c>
      <c r="I49" s="25">
        <f>IFERROR(Stanje[[#This Row],[Početan broj vrata]]-Stanje[[#This Row],[Broj montiranih Vrata]]+Stanje[[#This Row],[Broj ulaza Vrata]],"")</f>
        <v>0</v>
      </c>
      <c r="J49" s="25">
        <f>IFERROR(Stanje[[#This Row],[Početan broj vrata]]-Stanje[[#This Row],[Broj prodanih Vrata]]-Stanje[[#This Row],[Broj montiranih Vrata]]+Stanje[[#This Row],[Broj ulaza Vrata]],"")</f>
        <v>-3</v>
      </c>
      <c r="K49" s="45"/>
      <c r="L49" s="50" t="str">
        <f>IFERROR(IF(ISBLANK(Ulaz_izlaz[[#This Row],[Šifra vodilice]]),"",Ulaz_izlaz[[#This Row],[Šifra vodilice]]),"")</f>
        <v/>
      </c>
      <c r="M49" s="50">
        <f>SUMIFS(Upis_stavki!L:L,Upis_stavki!F:F,Stanje[[#This Row],[Šifra vodilica]],Upis_stavki!J:J,"Ulaz")</f>
        <v>0</v>
      </c>
      <c r="N49" s="50">
        <f>SUMIFS(Upis_stavki!L:L,Upis_stavki!F:F,Stanje[[#This Row],[Šifra vodilica]],Upis_stavki!J:J,"Montirano")</f>
        <v>0</v>
      </c>
      <c r="O49" s="25">
        <f>SUMIFS(Upis_stavki!L:L,Upis_stavki!F:F,Stanje[[#This Row],[Šifra vodilica]],Upis_stavki!J:J,"Prodano")</f>
        <v>0</v>
      </c>
      <c r="P49" s="25" t="str">
        <f>IFERROR(VLOOKUP(Stanje[[#This Row],[Šifra vodilica]],baza_vodilica[],3,FALSE),"")</f>
        <v/>
      </c>
      <c r="Q49" s="25" t="str">
        <f>IFERROR(Stanje[[#This Row],[Početan broj vodilica]]-Stanje[[#This Row],[Broj montiranih vodilica]]+Stanje[[#This Row],[Broj ulaza vodilica]],"")</f>
        <v/>
      </c>
      <c r="R49" s="25" t="str">
        <f>IFERROR(Stanje[[#This Row],[Početan broj vodilica]]-Stanje[[#This Row],[Broj prodanih vodilica]]-Stanje[[#This Row],[Broj montiranih vodilica]]+Stanje[[#This Row],[Broj ulaza vodilica]],"")</f>
        <v/>
      </c>
      <c r="S49" s="45"/>
      <c r="T49" s="25" t="str">
        <f>IFERROR(IF(ISBLANK(Ulaz_izlaz[[#This Row],[Šifra motora]]),"",Ulaz_izlaz[[#This Row],[Šifra motora]]),"")</f>
        <v>M1</v>
      </c>
      <c r="U49" s="50">
        <f>SUMIFS(Upis_stavki!K:K,Upis_stavki!H:H,Stanje[[#This Row],[Šifra motora]],Upis_stavki!J:J,"Ulaz")</f>
        <v>0</v>
      </c>
      <c r="V49" s="25">
        <f>SUMIFS(Upis_stavki!K:K,Upis_stavki!H:H,Stanje[[#This Row],[Šifra motora]],Upis_stavki!J:J,"Montirano")</f>
        <v>1</v>
      </c>
      <c r="W49" s="25">
        <f>SUMIFS(Upis_stavki!K:K,Upis_stavki!H:H,Stanje[[#This Row],[Šifra motora]],Upis_stavki!J:J,"Prodano")</f>
        <v>36</v>
      </c>
      <c r="X49" s="50">
        <f>IFERROR(VLOOKUP(Stanje[[#This Row],[Šifra motora]],baza_motora[],3,FALSE),"")</f>
        <v>63</v>
      </c>
      <c r="Y49" s="50">
        <f>IFERROR(Stanje[[#This Row],[Početan broj motora]]-Stanje[[#This Row],[Broj montiranih motora]]+Stanje[[#This Row],[Broj ulaza motora]],"")</f>
        <v>62</v>
      </c>
      <c r="Z49" s="25">
        <f>IFERROR(Stanje[[#This Row],[Početan broj motora]]-Stanje[[#This Row],[Broj prodanih motora]]-Stanje[[#This Row],[Broj montiranih motora]]+Stanje[[#This Row],[Broj ulaza motora]],"")</f>
        <v>26</v>
      </c>
    </row>
    <row r="50" spans="1:26" x14ac:dyDescent="0.35">
      <c r="A50" s="51">
        <v>44630</v>
      </c>
      <c r="B50" s="25" t="str">
        <f>IFERROR(IF(ISBLANK(Ulaz_izlaz[[#This Row],[Šifra proizvoda vrata]]),"",Ulaz_izlaz[[#This Row],[Šifra proizvoda vrata]]),"")</f>
        <v/>
      </c>
      <c r="C50" s="25" t="str">
        <f>IFERROR(VLOOKUP(Stanje[[#This Row],[Šifra Vrata]],Vrata[],2,FALSE),"")</f>
        <v/>
      </c>
      <c r="D50" s="25" t="str">
        <f>IFERROR(VLOOKUP(Stanje[[#This Row],[Šifra Vrata]],Vrata[],3,FALSE),"")</f>
        <v/>
      </c>
      <c r="E50" s="25">
        <f>SUMIFS(Upis_stavki!M:M,Upis_stavki!B:B,Stanje[[#This Row],[Šifra Vrata]],Upis_stavki!J:J,"Ulaz")</f>
        <v>0</v>
      </c>
      <c r="F50" s="50">
        <f>SUMIFS(Upis_stavki!M:M,Upis_stavki!B:B,Stanje[[#This Row],[Šifra Vrata]],Upis_stavki!J:J,"Montirano")</f>
        <v>0</v>
      </c>
      <c r="G50" s="50">
        <f>SUMIFS(Upis_stavki!M:M,Upis_stavki!B:B,Stanje[[#This Row],[Šifra Vrata]],Upis_stavki!J:J,"Prodano")</f>
        <v>0</v>
      </c>
      <c r="H50" s="25" t="str">
        <f>IFERROR(VLOOKUP(Stanje[[#This Row],[Šifra Vrata]],Vrata[],4,FALSE),"")</f>
        <v/>
      </c>
      <c r="I50" s="25" t="str">
        <f>IFERROR(Stanje[[#This Row],[Početan broj vrata]]-Stanje[[#This Row],[Broj montiranih Vrata]]+Stanje[[#This Row],[Broj ulaza Vrata]],"")</f>
        <v/>
      </c>
      <c r="J50" s="25" t="str">
        <f>IFERROR(Stanje[[#This Row],[Početan broj vrata]]-Stanje[[#This Row],[Broj prodanih Vrata]]-Stanje[[#This Row],[Broj montiranih Vrata]]+Stanje[[#This Row],[Broj ulaza Vrata]],"")</f>
        <v/>
      </c>
      <c r="K50" s="45"/>
      <c r="L50" s="50" t="str">
        <f>IFERROR(IF(ISBLANK(Ulaz_izlaz[[#This Row],[Šifra vodilice]]),"",Ulaz_izlaz[[#This Row],[Šifra vodilice]]),"")</f>
        <v/>
      </c>
      <c r="M50" s="50">
        <f>SUMIFS(Upis_stavki!L:L,Upis_stavki!F:F,Stanje[[#This Row],[Šifra vodilica]],Upis_stavki!J:J,"Ulaz")</f>
        <v>0</v>
      </c>
      <c r="N50" s="50">
        <f>SUMIFS(Upis_stavki!L:L,Upis_stavki!F:F,Stanje[[#This Row],[Šifra vodilica]],Upis_stavki!J:J,"Montirano")</f>
        <v>0</v>
      </c>
      <c r="O50" s="25">
        <f>SUMIFS(Upis_stavki!L:L,Upis_stavki!F:F,Stanje[[#This Row],[Šifra vodilica]],Upis_stavki!J:J,"Prodano")</f>
        <v>0</v>
      </c>
      <c r="P50" s="25" t="str">
        <f>IFERROR(VLOOKUP(Stanje[[#This Row],[Šifra vodilica]],baza_vodilica[],3,FALSE),"")</f>
        <v/>
      </c>
      <c r="Q50" s="25" t="str">
        <f>IFERROR(Stanje[[#This Row],[Početan broj vodilica]]-Stanje[[#This Row],[Broj montiranih vodilica]]+Stanje[[#This Row],[Broj ulaza vodilica]],"")</f>
        <v/>
      </c>
      <c r="R50" s="25" t="str">
        <f>IFERROR(Stanje[[#This Row],[Početan broj vodilica]]-Stanje[[#This Row],[Broj prodanih vodilica]]-Stanje[[#This Row],[Broj montiranih vodilica]]+Stanje[[#This Row],[Broj ulaza vodilica]],"")</f>
        <v/>
      </c>
      <c r="S50" s="45"/>
      <c r="T50" s="25" t="str">
        <f>IFERROR(IF(ISBLANK(Ulaz_izlaz[[#This Row],[Šifra motora]]),"",Ulaz_izlaz[[#This Row],[Šifra motora]]),"")</f>
        <v/>
      </c>
      <c r="U50" s="50">
        <f>SUMIFS(Upis_stavki!K:K,Upis_stavki!H:H,Stanje[[#This Row],[Šifra motora]],Upis_stavki!J:J,"Ulaz")</f>
        <v>0</v>
      </c>
      <c r="V50" s="25">
        <f>SUMIFS(Upis_stavki!K:K,Upis_stavki!H:H,Stanje[[#This Row],[Šifra motora]],Upis_stavki!J:J,"Montirano")</f>
        <v>0</v>
      </c>
      <c r="W50" s="25">
        <f>SUMIFS(Upis_stavki!K:K,Upis_stavki!H:H,Stanje[[#This Row],[Šifra motora]],Upis_stavki!J:J,"Prodano")</f>
        <v>0</v>
      </c>
      <c r="X50" s="50" t="str">
        <f>IFERROR(VLOOKUP(Stanje[[#This Row],[Šifra motora]],baza_motora[],3,FALSE),"")</f>
        <v/>
      </c>
      <c r="Y50" s="50" t="str">
        <f>IFERROR(Stanje[[#This Row],[Početan broj motora]]-Stanje[[#This Row],[Broj montiranih motora]]+Stanje[[#This Row],[Broj ulaza motora]],"")</f>
        <v/>
      </c>
      <c r="Z50" s="25" t="str">
        <f>IFERROR(Stanje[[#This Row],[Početan broj motora]]-Stanje[[#This Row],[Broj prodanih motora]]-Stanje[[#This Row],[Broj montiranih motora]]+Stanje[[#This Row],[Broj ulaza motora]],"")</f>
        <v/>
      </c>
    </row>
    <row r="51" spans="1:26" x14ac:dyDescent="0.35">
      <c r="A51" s="51">
        <v>44630</v>
      </c>
      <c r="B51" s="25" t="str">
        <f>IFERROR(IF(ISBLANK(Ulaz_izlaz[[#This Row],[Šifra proizvoda vrata]]),"",Ulaz_izlaz[[#This Row],[Šifra proizvoda vrata]]),"")</f>
        <v/>
      </c>
      <c r="C51" s="25" t="str">
        <f>IFERROR(VLOOKUP(Stanje[[#This Row],[Šifra Vrata]],Vrata[],2,FALSE),"")</f>
        <v/>
      </c>
      <c r="D51" s="25" t="str">
        <f>IFERROR(VLOOKUP(Stanje[[#This Row],[Šifra Vrata]],Vrata[],3,FALSE),"")</f>
        <v/>
      </c>
      <c r="E51" s="25">
        <f>SUMIFS(Upis_stavki!M:M,Upis_stavki!B:B,Stanje[[#This Row],[Šifra Vrata]],Upis_stavki!J:J,"Ulaz")</f>
        <v>0</v>
      </c>
      <c r="F51" s="50">
        <f>SUMIFS(Upis_stavki!M:M,Upis_stavki!B:B,Stanje[[#This Row],[Šifra Vrata]],Upis_stavki!J:J,"Montirano")</f>
        <v>0</v>
      </c>
      <c r="G51" s="50">
        <f>SUMIFS(Upis_stavki!M:M,Upis_stavki!B:B,Stanje[[#This Row],[Šifra Vrata]],Upis_stavki!J:J,"Prodano")</f>
        <v>0</v>
      </c>
      <c r="H51" s="25" t="str">
        <f>IFERROR(VLOOKUP(Stanje[[#This Row],[Šifra Vrata]],Vrata[],4,FALSE),"")</f>
        <v/>
      </c>
      <c r="I51" s="25" t="str">
        <f>IFERROR(Stanje[[#This Row],[Početan broj vrata]]-Stanje[[#This Row],[Broj montiranih Vrata]]+Stanje[[#This Row],[Broj ulaza Vrata]],"")</f>
        <v/>
      </c>
      <c r="J51" s="25" t="str">
        <f>IFERROR(Stanje[[#This Row],[Početan broj vrata]]-Stanje[[#This Row],[Broj prodanih Vrata]]-Stanje[[#This Row],[Broj montiranih Vrata]]+Stanje[[#This Row],[Broj ulaza Vrata]],"")</f>
        <v/>
      </c>
      <c r="K51" s="45"/>
      <c r="L51" s="50" t="str">
        <f>IFERROR(IF(ISBLANK(Ulaz_izlaz[[#This Row],[Šifra vodilice]]),"",Ulaz_izlaz[[#This Row],[Šifra vodilice]]),"")</f>
        <v/>
      </c>
      <c r="M51" s="50">
        <f>SUMIFS(Upis_stavki!L:L,Upis_stavki!F:F,Stanje[[#This Row],[Šifra vodilica]],Upis_stavki!J:J,"Ulaz")</f>
        <v>0</v>
      </c>
      <c r="N51" s="50">
        <f>SUMIFS(Upis_stavki!L:L,Upis_stavki!F:F,Stanje[[#This Row],[Šifra vodilica]],Upis_stavki!J:J,"Montirano")</f>
        <v>0</v>
      </c>
      <c r="O51" s="25">
        <f>SUMIFS(Upis_stavki!L:L,Upis_stavki!F:F,Stanje[[#This Row],[Šifra vodilica]],Upis_stavki!J:J,"Prodano")</f>
        <v>0</v>
      </c>
      <c r="P51" s="25" t="str">
        <f>IFERROR(VLOOKUP(Stanje[[#This Row],[Šifra vodilica]],baza_vodilica[],3,FALSE),"")</f>
        <v/>
      </c>
      <c r="Q51" s="25" t="str">
        <f>IFERROR(Stanje[[#This Row],[Početan broj vodilica]]-Stanje[[#This Row],[Broj montiranih vodilica]]+Stanje[[#This Row],[Broj ulaza vodilica]],"")</f>
        <v/>
      </c>
      <c r="R51" s="25" t="str">
        <f>IFERROR(Stanje[[#This Row],[Početan broj vodilica]]-Stanje[[#This Row],[Broj prodanih vodilica]]-Stanje[[#This Row],[Broj montiranih vodilica]]+Stanje[[#This Row],[Broj ulaza vodilica]],"")</f>
        <v/>
      </c>
      <c r="S51" s="45"/>
      <c r="T51" s="25" t="str">
        <f>IFERROR(IF(ISBLANK(Ulaz_izlaz[[#This Row],[Šifra motora]]),"",Ulaz_izlaz[[#This Row],[Šifra motora]]),"")</f>
        <v/>
      </c>
      <c r="U51" s="50">
        <f>SUMIFS(Upis_stavki!K:K,Upis_stavki!H:H,Stanje[[#This Row],[Šifra motora]],Upis_stavki!J:J,"Ulaz")</f>
        <v>0</v>
      </c>
      <c r="V51" s="25">
        <f>SUMIFS(Upis_stavki!K:K,Upis_stavki!H:H,Stanje[[#This Row],[Šifra motora]],Upis_stavki!J:J,"Montirano")</f>
        <v>0</v>
      </c>
      <c r="W51" s="25">
        <f>SUMIFS(Upis_stavki!K:K,Upis_stavki!H:H,Stanje[[#This Row],[Šifra motora]],Upis_stavki!J:J,"Prodano")</f>
        <v>0</v>
      </c>
      <c r="X51" s="50" t="str">
        <f>IFERROR(VLOOKUP(Stanje[[#This Row],[Šifra motora]],baza_motora[],3,FALSE),"")</f>
        <v/>
      </c>
      <c r="Y51" s="50" t="str">
        <f>IFERROR(Stanje[[#This Row],[Početan broj motora]]-Stanje[[#This Row],[Broj montiranih motora]]+Stanje[[#This Row],[Broj ulaza motora]],"")</f>
        <v/>
      </c>
      <c r="Z51" s="25" t="str">
        <f>IFERROR(Stanje[[#This Row],[Početan broj motora]]-Stanje[[#This Row],[Broj prodanih motora]]-Stanje[[#This Row],[Broj montiranih motora]]+Stanje[[#This Row],[Broj ulaza motora]],"")</f>
        <v/>
      </c>
    </row>
    <row r="52" spans="1:26" x14ac:dyDescent="0.35">
      <c r="A52" s="51">
        <v>44630</v>
      </c>
      <c r="B52" s="25" t="str">
        <f>IFERROR(IF(ISBLANK(Ulaz_izlaz[[#This Row],[Šifra proizvoda vrata]]),"",Ulaz_izlaz[[#This Row],[Šifra proizvoda vrata]]),"")</f>
        <v/>
      </c>
      <c r="C52" s="25" t="str">
        <f>IFERROR(VLOOKUP(Stanje[[#This Row],[Šifra Vrata]],Vrata[],2,FALSE),"")</f>
        <v/>
      </c>
      <c r="D52" s="25" t="str">
        <f>IFERROR(VLOOKUP(Stanje[[#This Row],[Šifra Vrata]],Vrata[],3,FALSE),"")</f>
        <v/>
      </c>
      <c r="E52" s="25">
        <f>SUMIFS(Upis_stavki!M:M,Upis_stavki!B:B,Stanje[[#This Row],[Šifra Vrata]],Upis_stavki!J:J,"Ulaz")</f>
        <v>0</v>
      </c>
      <c r="F52" s="50">
        <f>SUMIFS(Upis_stavki!M:M,Upis_stavki!B:B,Stanje[[#This Row],[Šifra Vrata]],Upis_stavki!J:J,"Montirano")</f>
        <v>0</v>
      </c>
      <c r="G52" s="50">
        <f>SUMIFS(Upis_stavki!M:M,Upis_stavki!B:B,Stanje[[#This Row],[Šifra Vrata]],Upis_stavki!J:J,"Prodano")</f>
        <v>0</v>
      </c>
      <c r="H52" s="25" t="str">
        <f>IFERROR(VLOOKUP(Stanje[[#This Row],[Šifra Vrata]],Vrata[],4,FALSE),"")</f>
        <v/>
      </c>
      <c r="I52" s="25" t="str">
        <f>IFERROR(Stanje[[#This Row],[Početan broj vrata]]-Stanje[[#This Row],[Broj montiranih Vrata]]+Stanje[[#This Row],[Broj ulaza Vrata]],"")</f>
        <v/>
      </c>
      <c r="J52" s="25" t="str">
        <f>IFERROR(Stanje[[#This Row],[Početan broj vrata]]-Stanje[[#This Row],[Broj prodanih Vrata]]-Stanje[[#This Row],[Broj montiranih Vrata]]+Stanje[[#This Row],[Broj ulaza Vrata]],"")</f>
        <v/>
      </c>
      <c r="K52" s="45"/>
      <c r="L52" s="50" t="str">
        <f>IFERROR(IF(ISBLANK(Ulaz_izlaz[[#This Row],[Šifra vodilice]]),"",Ulaz_izlaz[[#This Row],[Šifra vodilice]]),"")</f>
        <v/>
      </c>
      <c r="M52" s="50">
        <f>SUMIFS(Upis_stavki!L:L,Upis_stavki!F:F,Stanje[[#This Row],[Šifra vodilica]],Upis_stavki!J:J,"Ulaz")</f>
        <v>0</v>
      </c>
      <c r="N52" s="50">
        <f>SUMIFS(Upis_stavki!L:L,Upis_stavki!F:F,Stanje[[#This Row],[Šifra vodilica]],Upis_stavki!J:J,"Montirano")</f>
        <v>0</v>
      </c>
      <c r="O52" s="25">
        <f>SUMIFS(Upis_stavki!L:L,Upis_stavki!F:F,Stanje[[#This Row],[Šifra vodilica]],Upis_stavki!J:J,"Prodano")</f>
        <v>0</v>
      </c>
      <c r="P52" s="25" t="str">
        <f>IFERROR(VLOOKUP(Stanje[[#This Row],[Šifra vodilica]],baza_vodilica[],3,FALSE),"")</f>
        <v/>
      </c>
      <c r="Q52" s="25" t="str">
        <f>IFERROR(Stanje[[#This Row],[Početan broj vodilica]]-Stanje[[#This Row],[Broj montiranih vodilica]]+Stanje[[#This Row],[Broj ulaza vodilica]],"")</f>
        <v/>
      </c>
      <c r="R52" s="25" t="str">
        <f>IFERROR(Stanje[[#This Row],[Početan broj vodilica]]-Stanje[[#This Row],[Broj prodanih vodilica]]-Stanje[[#This Row],[Broj montiranih vodilica]]+Stanje[[#This Row],[Broj ulaza vodilica]],"")</f>
        <v/>
      </c>
      <c r="S52" s="45"/>
      <c r="T52" s="25" t="str">
        <f>IFERROR(IF(ISBLANK(Ulaz_izlaz[[#This Row],[Šifra motora]]),"",Ulaz_izlaz[[#This Row],[Šifra motora]]),"")</f>
        <v/>
      </c>
      <c r="U52" s="50">
        <f>SUMIFS(Upis_stavki!K:K,Upis_stavki!H:H,Stanje[[#This Row],[Šifra motora]],Upis_stavki!J:J,"Ulaz")</f>
        <v>0</v>
      </c>
      <c r="V52" s="25">
        <f>SUMIFS(Upis_stavki!K:K,Upis_stavki!H:H,Stanje[[#This Row],[Šifra motora]],Upis_stavki!J:J,"Montirano")</f>
        <v>0</v>
      </c>
      <c r="W52" s="25">
        <f>SUMIFS(Upis_stavki!K:K,Upis_stavki!H:H,Stanje[[#This Row],[Šifra motora]],Upis_stavki!J:J,"Prodano")</f>
        <v>0</v>
      </c>
      <c r="X52" s="50" t="str">
        <f>IFERROR(VLOOKUP(Stanje[[#This Row],[Šifra motora]],baza_motora[],3,FALSE),"")</f>
        <v/>
      </c>
      <c r="Y52" s="50" t="str">
        <f>IFERROR(Stanje[[#This Row],[Početan broj motora]]-Stanje[[#This Row],[Broj montiranih motora]]+Stanje[[#This Row],[Broj ulaza motora]],"")</f>
        <v/>
      </c>
      <c r="Z52" s="25" t="str">
        <f>IFERROR(Stanje[[#This Row],[Početan broj motora]]-Stanje[[#This Row],[Broj prodanih motora]]-Stanje[[#This Row],[Broj montiranih motora]]+Stanje[[#This Row],[Broj ulaza motora]],"")</f>
        <v/>
      </c>
    </row>
    <row r="53" spans="1:26" x14ac:dyDescent="0.35">
      <c r="A53" s="51">
        <v>44630</v>
      </c>
      <c r="B53" s="25">
        <f>IFERROR(IF(ISBLANK(Ulaz_izlaz[[#This Row],[Šifra proizvoda vrata]]),"",Ulaz_izlaz[[#This Row],[Šifra proizvoda vrata]]),"")</f>
        <v>53</v>
      </c>
      <c r="C53" s="25" t="str">
        <f>IFERROR(VLOOKUP(Stanje[[#This Row],[Šifra Vrata]],Vrata[],2,FALSE),"")</f>
        <v>2500 X 2000</v>
      </c>
      <c r="D53" s="25" t="str">
        <f>IFERROR(VLOOKUP(Stanje[[#This Row],[Šifra Vrata]],Vrata[],3,FALSE),"")</f>
        <v>DARK OAK</v>
      </c>
      <c r="E53" s="25">
        <f>SUMIFS(Upis_stavki!M:M,Upis_stavki!B:B,Stanje[[#This Row],[Šifra Vrata]],Upis_stavki!J:J,"Ulaz")</f>
        <v>0</v>
      </c>
      <c r="F53" s="50">
        <f>SUMIFS(Upis_stavki!M:M,Upis_stavki!B:B,Stanje[[#This Row],[Šifra Vrata]],Upis_stavki!J:J,"Montirano")</f>
        <v>0</v>
      </c>
      <c r="G53" s="50">
        <f>SUMIFS(Upis_stavki!M:M,Upis_stavki!B:B,Stanje[[#This Row],[Šifra Vrata]],Upis_stavki!J:J,"Prodano")</f>
        <v>3</v>
      </c>
      <c r="H53" s="25">
        <f>IFERROR(VLOOKUP(Stanje[[#This Row],[Šifra Vrata]],Vrata[],4,FALSE),"")</f>
        <v>0</v>
      </c>
      <c r="I53" s="25">
        <f>IFERROR(Stanje[[#This Row],[Početan broj vrata]]-Stanje[[#This Row],[Broj montiranih Vrata]]+Stanje[[#This Row],[Broj ulaza Vrata]],"")</f>
        <v>0</v>
      </c>
      <c r="J53" s="25">
        <f>IFERROR(Stanje[[#This Row],[Početan broj vrata]]-Stanje[[#This Row],[Broj prodanih Vrata]]-Stanje[[#This Row],[Broj montiranih Vrata]]+Stanje[[#This Row],[Broj ulaza Vrata]],"")</f>
        <v>-3</v>
      </c>
      <c r="K53" s="45"/>
      <c r="L53" s="50" t="str">
        <f>IFERROR(IF(ISBLANK(Ulaz_izlaz[[#This Row],[Šifra vodilice]]),"",Ulaz_izlaz[[#This Row],[Šifra vodilice]]),"")</f>
        <v/>
      </c>
      <c r="M53" s="50">
        <f>SUMIFS(Upis_stavki!L:L,Upis_stavki!F:F,Stanje[[#This Row],[Šifra vodilica]],Upis_stavki!J:J,"Ulaz")</f>
        <v>0</v>
      </c>
      <c r="N53" s="50">
        <f>SUMIFS(Upis_stavki!L:L,Upis_stavki!F:F,Stanje[[#This Row],[Šifra vodilica]],Upis_stavki!J:J,"Montirano")</f>
        <v>0</v>
      </c>
      <c r="O53" s="25">
        <f>SUMIFS(Upis_stavki!L:L,Upis_stavki!F:F,Stanje[[#This Row],[Šifra vodilica]],Upis_stavki!J:J,"Prodano")</f>
        <v>0</v>
      </c>
      <c r="P53" s="25" t="str">
        <f>IFERROR(VLOOKUP(Stanje[[#This Row],[Šifra vodilica]],baza_vodilica[],3,FALSE),"")</f>
        <v/>
      </c>
      <c r="Q53" s="25" t="str">
        <f>IFERROR(Stanje[[#This Row],[Početan broj vodilica]]-Stanje[[#This Row],[Broj montiranih vodilica]]+Stanje[[#This Row],[Broj ulaza vodilica]],"")</f>
        <v/>
      </c>
      <c r="R53" s="25" t="str">
        <f>IFERROR(Stanje[[#This Row],[Početan broj vodilica]]-Stanje[[#This Row],[Broj prodanih vodilica]]-Stanje[[#This Row],[Broj montiranih vodilica]]+Stanje[[#This Row],[Broj ulaza vodilica]],"")</f>
        <v/>
      </c>
      <c r="S53" s="45"/>
      <c r="T53" s="25" t="str">
        <f>IFERROR(IF(ISBLANK(Ulaz_izlaz[[#This Row],[Šifra motora]]),"",Ulaz_izlaz[[#This Row],[Šifra motora]]),"")</f>
        <v/>
      </c>
      <c r="U53" s="50">
        <f>SUMIFS(Upis_stavki!K:K,Upis_stavki!H:H,Stanje[[#This Row],[Šifra motora]],Upis_stavki!J:J,"Ulaz")</f>
        <v>0</v>
      </c>
      <c r="V53" s="25">
        <f>SUMIFS(Upis_stavki!K:K,Upis_stavki!H:H,Stanje[[#This Row],[Šifra motora]],Upis_stavki!J:J,"Montirano")</f>
        <v>0</v>
      </c>
      <c r="W53" s="25">
        <f>SUMIFS(Upis_stavki!K:K,Upis_stavki!H:H,Stanje[[#This Row],[Šifra motora]],Upis_stavki!J:J,"Prodano")</f>
        <v>0</v>
      </c>
      <c r="X53" s="50" t="str">
        <f>IFERROR(VLOOKUP(Stanje[[#This Row],[Šifra motora]],baza_motora[],3,FALSE),"")</f>
        <v/>
      </c>
      <c r="Y53" s="50" t="str">
        <f>IFERROR(Stanje[[#This Row],[Početan broj motora]]-Stanje[[#This Row],[Broj montiranih motora]]+Stanje[[#This Row],[Broj ulaza motora]],"")</f>
        <v/>
      </c>
      <c r="Z53" s="25" t="str">
        <f>IFERROR(Stanje[[#This Row],[Početan broj motora]]-Stanje[[#This Row],[Broj prodanih motora]]-Stanje[[#This Row],[Broj montiranih motora]]+Stanje[[#This Row],[Broj ulaza motora]],"")</f>
        <v/>
      </c>
    </row>
    <row r="54" spans="1:26" x14ac:dyDescent="0.35">
      <c r="A54" s="51">
        <v>44630</v>
      </c>
      <c r="B54" s="25" t="str">
        <f>IFERROR(IF(ISBLANK(Ulaz_izlaz[[#This Row],[Šifra proizvoda vrata]]),"",Ulaz_izlaz[[#This Row],[Šifra proizvoda vrata]]),"")</f>
        <v/>
      </c>
      <c r="C54" s="25" t="str">
        <f>IFERROR(VLOOKUP(Stanje[[#This Row],[Šifra Vrata]],Vrata[],2,FALSE),"")</f>
        <v/>
      </c>
      <c r="D54" s="25" t="str">
        <f>IFERROR(VLOOKUP(Stanje[[#This Row],[Šifra Vrata]],Vrata[],3,FALSE),"")</f>
        <v/>
      </c>
      <c r="E54" s="25">
        <f>SUMIFS(Upis_stavki!M:M,Upis_stavki!B:B,Stanje[[#This Row],[Šifra Vrata]],Upis_stavki!J:J,"Ulaz")</f>
        <v>0</v>
      </c>
      <c r="F54" s="50">
        <f>SUMIFS(Upis_stavki!M:M,Upis_stavki!B:B,Stanje[[#This Row],[Šifra Vrata]],Upis_stavki!J:J,"Montirano")</f>
        <v>0</v>
      </c>
      <c r="G54" s="50">
        <f>SUMIFS(Upis_stavki!M:M,Upis_stavki!B:B,Stanje[[#This Row],[Šifra Vrata]],Upis_stavki!J:J,"Prodano")</f>
        <v>0</v>
      </c>
      <c r="H54" s="25" t="str">
        <f>IFERROR(VLOOKUP(Stanje[[#This Row],[Šifra Vrata]],Vrata[],4,FALSE),"")</f>
        <v/>
      </c>
      <c r="I54" s="25" t="str">
        <f>IFERROR(Stanje[[#This Row],[Početan broj vrata]]-Stanje[[#This Row],[Broj montiranih Vrata]]+Stanje[[#This Row],[Broj ulaza Vrata]],"")</f>
        <v/>
      </c>
      <c r="J54" s="25" t="str">
        <f>IFERROR(Stanje[[#This Row],[Početan broj vrata]]-Stanje[[#This Row],[Broj prodanih Vrata]]-Stanje[[#This Row],[Broj montiranih Vrata]]+Stanje[[#This Row],[Broj ulaza Vrata]],"")</f>
        <v/>
      </c>
      <c r="K54" s="45"/>
      <c r="L54" s="50" t="str">
        <f>IFERROR(IF(ISBLANK(Ulaz_izlaz[[#This Row],[Šifra vodilice]]),"",Ulaz_izlaz[[#This Row],[Šifra vodilice]]),"")</f>
        <v/>
      </c>
      <c r="M54" s="50">
        <f>SUMIFS(Upis_stavki!L:L,Upis_stavki!F:F,Stanje[[#This Row],[Šifra vodilica]],Upis_stavki!J:J,"Ulaz")</f>
        <v>0</v>
      </c>
      <c r="N54" s="50">
        <f>SUMIFS(Upis_stavki!L:L,Upis_stavki!F:F,Stanje[[#This Row],[Šifra vodilica]],Upis_stavki!J:J,"Montirano")</f>
        <v>0</v>
      </c>
      <c r="O54" s="25">
        <f>SUMIFS(Upis_stavki!L:L,Upis_stavki!F:F,Stanje[[#This Row],[Šifra vodilica]],Upis_stavki!J:J,"Prodano")</f>
        <v>0</v>
      </c>
      <c r="P54" s="25" t="str">
        <f>IFERROR(VLOOKUP(Stanje[[#This Row],[Šifra vodilica]],baza_vodilica[],3,FALSE),"")</f>
        <v/>
      </c>
      <c r="Q54" s="25" t="str">
        <f>IFERROR(Stanje[[#This Row],[Početan broj vodilica]]-Stanje[[#This Row],[Broj montiranih vodilica]]+Stanje[[#This Row],[Broj ulaza vodilica]],"")</f>
        <v/>
      </c>
      <c r="R54" s="25" t="str">
        <f>IFERROR(Stanje[[#This Row],[Početan broj vodilica]]-Stanje[[#This Row],[Broj prodanih vodilica]]-Stanje[[#This Row],[Broj montiranih vodilica]]+Stanje[[#This Row],[Broj ulaza vodilica]],"")</f>
        <v/>
      </c>
      <c r="S54" s="45"/>
      <c r="T54" s="25" t="str">
        <f>IFERROR(IF(ISBLANK(Ulaz_izlaz[[#This Row],[Šifra motora]]),"",Ulaz_izlaz[[#This Row],[Šifra motora]]),"")</f>
        <v/>
      </c>
      <c r="U54" s="50">
        <f>SUMIFS(Upis_stavki!K:K,Upis_stavki!H:H,Stanje[[#This Row],[Šifra motora]],Upis_stavki!J:J,"Ulaz")</f>
        <v>0</v>
      </c>
      <c r="V54" s="25">
        <f>SUMIFS(Upis_stavki!K:K,Upis_stavki!H:H,Stanje[[#This Row],[Šifra motora]],Upis_stavki!J:J,"Montirano")</f>
        <v>0</v>
      </c>
      <c r="W54" s="25">
        <f>SUMIFS(Upis_stavki!K:K,Upis_stavki!H:H,Stanje[[#This Row],[Šifra motora]],Upis_stavki!J:J,"Prodano")</f>
        <v>0</v>
      </c>
      <c r="X54" s="50" t="str">
        <f>IFERROR(VLOOKUP(Stanje[[#This Row],[Šifra motora]],baza_motora[],3,FALSE),"")</f>
        <v/>
      </c>
      <c r="Y54" s="50" t="str">
        <f>IFERROR(Stanje[[#This Row],[Početan broj motora]]-Stanje[[#This Row],[Broj montiranih motora]]+Stanje[[#This Row],[Broj ulaza motora]],"")</f>
        <v/>
      </c>
      <c r="Z54" s="25" t="str">
        <f>IFERROR(Stanje[[#This Row],[Početan broj motora]]-Stanje[[#This Row],[Broj prodanih motora]]-Stanje[[#This Row],[Broj montiranih motora]]+Stanje[[#This Row],[Broj ulaza motora]],"")</f>
        <v/>
      </c>
    </row>
    <row r="55" spans="1:26" x14ac:dyDescent="0.35">
      <c r="A55" s="51">
        <v>44657</v>
      </c>
      <c r="B55" s="25" t="str">
        <f>IFERROR(IF(ISBLANK(Ulaz_izlaz[[#This Row],[Šifra proizvoda vrata]]),"",Ulaz_izlaz[[#This Row],[Šifra proizvoda vrata]]),"")</f>
        <v/>
      </c>
      <c r="C55" s="25" t="str">
        <f>IFERROR(VLOOKUP(Stanje[[#This Row],[Šifra Vrata]],Vrata[],2,FALSE),"")</f>
        <v/>
      </c>
      <c r="D55" s="25" t="str">
        <f>IFERROR(VLOOKUP(Stanje[[#This Row],[Šifra Vrata]],Vrata[],3,FALSE),"")</f>
        <v/>
      </c>
      <c r="E55" s="25">
        <f>SUMIFS(Upis_stavki!M:M,Upis_stavki!B:B,Stanje[[#This Row],[Šifra Vrata]],Upis_stavki!J:J,"Ulaz")</f>
        <v>0</v>
      </c>
      <c r="F55" s="50">
        <f>SUMIFS(Upis_stavki!M:M,Upis_stavki!B:B,Stanje[[#This Row],[Šifra Vrata]],Upis_stavki!J:J,"Montirano")</f>
        <v>0</v>
      </c>
      <c r="G55" s="50">
        <f>SUMIFS(Upis_stavki!M:M,Upis_stavki!B:B,Stanje[[#This Row],[Šifra Vrata]],Upis_stavki!J:J,"Prodano")</f>
        <v>0</v>
      </c>
      <c r="H55" s="25" t="str">
        <f>IFERROR(VLOOKUP(Stanje[[#This Row],[Šifra Vrata]],Vrata[],4,FALSE),"")</f>
        <v/>
      </c>
      <c r="I55" s="25" t="str">
        <f>IFERROR(Stanje[[#This Row],[Početan broj vrata]]-Stanje[[#This Row],[Broj montiranih Vrata]]+Stanje[[#This Row],[Broj ulaza Vrata]],"")</f>
        <v/>
      </c>
      <c r="J55" s="25" t="str">
        <f>IFERROR(Stanje[[#This Row],[Početan broj vrata]]-Stanje[[#This Row],[Broj prodanih Vrata]]-Stanje[[#This Row],[Broj montiranih Vrata]]+Stanje[[#This Row],[Broj ulaza Vrata]],"")</f>
        <v/>
      </c>
      <c r="K55" s="45"/>
      <c r="L55" s="50" t="str">
        <f>IFERROR(IF(ISBLANK(Ulaz_izlaz[[#This Row],[Šifra vodilice]]),"",Ulaz_izlaz[[#This Row],[Šifra vodilice]]),"")</f>
        <v/>
      </c>
      <c r="M55" s="50">
        <f>SUMIFS(Upis_stavki!L:L,Upis_stavki!F:F,Stanje[[#This Row],[Šifra vodilica]],Upis_stavki!J:J,"Ulaz")</f>
        <v>0</v>
      </c>
      <c r="N55" s="50">
        <f>SUMIFS(Upis_stavki!L:L,Upis_stavki!F:F,Stanje[[#This Row],[Šifra vodilica]],Upis_stavki!J:J,"Montirano")</f>
        <v>0</v>
      </c>
      <c r="O55" s="25">
        <f>SUMIFS(Upis_stavki!L:L,Upis_stavki!F:F,Stanje[[#This Row],[Šifra vodilica]],Upis_stavki!J:J,"Prodano")</f>
        <v>0</v>
      </c>
      <c r="P55" s="25" t="str">
        <f>IFERROR(VLOOKUP(Stanje[[#This Row],[Šifra vodilica]],baza_vodilica[],3,FALSE),"")</f>
        <v/>
      </c>
      <c r="Q55" s="25" t="str">
        <f>IFERROR(Stanje[[#This Row],[Početan broj vodilica]]-Stanje[[#This Row],[Broj montiranih vodilica]]+Stanje[[#This Row],[Broj ulaza vodilica]],"")</f>
        <v/>
      </c>
      <c r="R55" s="25" t="str">
        <f>IFERROR(Stanje[[#This Row],[Početan broj vodilica]]-Stanje[[#This Row],[Broj prodanih vodilica]]-Stanje[[#This Row],[Broj montiranih vodilica]]+Stanje[[#This Row],[Broj ulaza vodilica]],"")</f>
        <v/>
      </c>
      <c r="S55" s="45"/>
      <c r="T55" s="25" t="str">
        <f>IFERROR(IF(ISBLANK(Ulaz_izlaz[[#This Row],[Šifra motora]]),"",Ulaz_izlaz[[#This Row],[Šifra motora]]),"")</f>
        <v/>
      </c>
      <c r="U55" s="50">
        <f>SUMIFS(Upis_stavki!K:K,Upis_stavki!H:H,Stanje[[#This Row],[Šifra motora]],Upis_stavki!J:J,"Ulaz")</f>
        <v>0</v>
      </c>
      <c r="V55" s="25">
        <f>SUMIFS(Upis_stavki!K:K,Upis_stavki!H:H,Stanje[[#This Row],[Šifra motora]],Upis_stavki!J:J,"Montirano")</f>
        <v>0</v>
      </c>
      <c r="W55" s="25">
        <f>SUMIFS(Upis_stavki!K:K,Upis_stavki!H:H,Stanje[[#This Row],[Šifra motora]],Upis_stavki!J:J,"Prodano")</f>
        <v>0</v>
      </c>
      <c r="X55" s="50" t="str">
        <f>IFERROR(VLOOKUP(Stanje[[#This Row],[Šifra motora]],baza_motora[],3,FALSE),"")</f>
        <v/>
      </c>
      <c r="Y55" s="50" t="str">
        <f>IFERROR(Stanje[[#This Row],[Početan broj motora]]-Stanje[[#This Row],[Broj montiranih motora]]+Stanje[[#This Row],[Broj ulaza motora]],"")</f>
        <v/>
      </c>
      <c r="Z55" s="25" t="str">
        <f>IFERROR(Stanje[[#This Row],[Početan broj motora]]-Stanje[[#This Row],[Broj prodanih motora]]-Stanje[[#This Row],[Broj montiranih motora]]+Stanje[[#This Row],[Broj ulaza motora]],"")</f>
        <v/>
      </c>
    </row>
    <row r="56" spans="1:26" x14ac:dyDescent="0.35">
      <c r="A56" s="51">
        <v>44658</v>
      </c>
      <c r="B56" s="25" t="str">
        <f>IFERROR(IF(ISBLANK(Ulaz_izlaz[[#This Row],[Šifra proizvoda vrata]]),"",Ulaz_izlaz[[#This Row],[Šifra proizvoda vrata]]),"")</f>
        <v/>
      </c>
      <c r="C56" s="25" t="str">
        <f>IFERROR(VLOOKUP(Stanje[[#This Row],[Šifra Vrata]],Vrata[],2,FALSE),"")</f>
        <v/>
      </c>
      <c r="D56" s="25" t="str">
        <f>IFERROR(VLOOKUP(Stanje[[#This Row],[Šifra Vrata]],Vrata[],3,FALSE),"")</f>
        <v/>
      </c>
      <c r="E56" s="25">
        <f>SUMIFS(Upis_stavki!M:M,Upis_stavki!B:B,Stanje[[#This Row],[Šifra Vrata]],Upis_stavki!J:J,"Ulaz")</f>
        <v>0</v>
      </c>
      <c r="F56" s="50">
        <f>SUMIFS(Upis_stavki!M:M,Upis_stavki!B:B,Stanje[[#This Row],[Šifra Vrata]],Upis_stavki!J:J,"Montirano")</f>
        <v>0</v>
      </c>
      <c r="G56" s="50">
        <f>SUMIFS(Upis_stavki!M:M,Upis_stavki!B:B,Stanje[[#This Row],[Šifra Vrata]],Upis_stavki!J:J,"Prodano")</f>
        <v>0</v>
      </c>
      <c r="H56" s="25" t="str">
        <f>IFERROR(VLOOKUP(Stanje[[#This Row],[Šifra Vrata]],Vrata[],4,FALSE),"")</f>
        <v/>
      </c>
      <c r="I56" s="25" t="str">
        <f>IFERROR(Stanje[[#This Row],[Početan broj vrata]]-Stanje[[#This Row],[Broj montiranih Vrata]]+Stanje[[#This Row],[Broj ulaza Vrata]],"")</f>
        <v/>
      </c>
      <c r="J56" s="25" t="str">
        <f>IFERROR(Stanje[[#This Row],[Početan broj vrata]]-Stanje[[#This Row],[Broj prodanih Vrata]]-Stanje[[#This Row],[Broj montiranih Vrata]]+Stanje[[#This Row],[Broj ulaza Vrata]],"")</f>
        <v/>
      </c>
      <c r="K56" s="45"/>
      <c r="L56" s="50" t="str">
        <f>IFERROR(IF(ISBLANK(Ulaz_izlaz[[#This Row],[Šifra vodilice]]),"",Ulaz_izlaz[[#This Row],[Šifra vodilice]]),"")</f>
        <v/>
      </c>
      <c r="M56" s="50">
        <f>SUMIFS(Upis_stavki!L:L,Upis_stavki!F:F,Stanje[[#This Row],[Šifra vodilica]],Upis_stavki!J:J,"Ulaz")</f>
        <v>0</v>
      </c>
      <c r="N56" s="50">
        <f>SUMIFS(Upis_stavki!L:L,Upis_stavki!F:F,Stanje[[#This Row],[Šifra vodilica]],Upis_stavki!J:J,"Montirano")</f>
        <v>0</v>
      </c>
      <c r="O56" s="25">
        <f>SUMIFS(Upis_stavki!L:L,Upis_stavki!F:F,Stanje[[#This Row],[Šifra vodilica]],Upis_stavki!J:J,"Prodano")</f>
        <v>0</v>
      </c>
      <c r="P56" s="25" t="str">
        <f>IFERROR(VLOOKUP(Stanje[[#This Row],[Šifra vodilica]],baza_vodilica[],3,FALSE),"")</f>
        <v/>
      </c>
      <c r="Q56" s="25" t="str">
        <f>IFERROR(Stanje[[#This Row],[Početan broj vodilica]]-Stanje[[#This Row],[Broj montiranih vodilica]]+Stanje[[#This Row],[Broj ulaza vodilica]],"")</f>
        <v/>
      </c>
      <c r="R56" s="25" t="str">
        <f>IFERROR(Stanje[[#This Row],[Početan broj vodilica]]-Stanje[[#This Row],[Broj prodanih vodilica]]-Stanje[[#This Row],[Broj montiranih vodilica]]+Stanje[[#This Row],[Broj ulaza vodilica]],"")</f>
        <v/>
      </c>
      <c r="S56" s="45"/>
      <c r="T56" s="25" t="str">
        <f>IFERROR(IF(ISBLANK(Ulaz_izlaz[[#This Row],[Šifra motora]]),"",Ulaz_izlaz[[#This Row],[Šifra motora]]),"")</f>
        <v/>
      </c>
      <c r="U56" s="50">
        <f>SUMIFS(Upis_stavki!K:K,Upis_stavki!H:H,Stanje[[#This Row],[Šifra motora]],Upis_stavki!J:J,"Ulaz")</f>
        <v>0</v>
      </c>
      <c r="V56" s="25">
        <f>SUMIFS(Upis_stavki!K:K,Upis_stavki!H:H,Stanje[[#This Row],[Šifra motora]],Upis_stavki!J:J,"Montirano")</f>
        <v>0</v>
      </c>
      <c r="W56" s="25">
        <f>SUMIFS(Upis_stavki!K:K,Upis_stavki!H:H,Stanje[[#This Row],[Šifra motora]],Upis_stavki!J:J,"Prodano")</f>
        <v>0</v>
      </c>
      <c r="X56" s="50" t="str">
        <f>IFERROR(VLOOKUP(Stanje[[#This Row],[Šifra motora]],baza_motora[],3,FALSE),"")</f>
        <v/>
      </c>
      <c r="Y56" s="50" t="str">
        <f>IFERROR(Stanje[[#This Row],[Početan broj motora]]-Stanje[[#This Row],[Broj montiranih motora]]+Stanje[[#This Row],[Broj ulaza motora]],"")</f>
        <v/>
      </c>
      <c r="Z56" s="25" t="str">
        <f>IFERROR(Stanje[[#This Row],[Početan broj motora]]-Stanje[[#This Row],[Broj prodanih motora]]-Stanje[[#This Row],[Broj montiranih motora]]+Stanje[[#This Row],[Broj ulaza motora]],"")</f>
        <v/>
      </c>
    </row>
    <row r="57" spans="1:26" x14ac:dyDescent="0.35">
      <c r="A57" s="51">
        <v>44659</v>
      </c>
      <c r="B57" s="25" t="str">
        <f>IFERROR(IF(ISBLANK(Ulaz_izlaz[[#This Row],[Šifra proizvoda vrata]]),"",Ulaz_izlaz[[#This Row],[Šifra proizvoda vrata]]),"")</f>
        <v/>
      </c>
      <c r="C57" s="25" t="str">
        <f>IFERROR(VLOOKUP(Stanje[[#This Row],[Šifra Vrata]],Vrata[],2,FALSE),"")</f>
        <v/>
      </c>
      <c r="D57" s="25" t="str">
        <f>IFERROR(VLOOKUP(Stanje[[#This Row],[Šifra Vrata]],Vrata[],3,FALSE),"")</f>
        <v/>
      </c>
      <c r="E57" s="25">
        <f>SUMIFS(Upis_stavki!M:M,Upis_stavki!B:B,Stanje[[#This Row],[Šifra Vrata]],Upis_stavki!J:J,"Ulaz")</f>
        <v>0</v>
      </c>
      <c r="F57" s="50">
        <f>SUMIFS(Upis_stavki!M:M,Upis_stavki!B:B,Stanje[[#This Row],[Šifra Vrata]],Upis_stavki!J:J,"Montirano")</f>
        <v>0</v>
      </c>
      <c r="G57" s="50">
        <f>SUMIFS(Upis_stavki!M:M,Upis_stavki!B:B,Stanje[[#This Row],[Šifra Vrata]],Upis_stavki!J:J,"Prodano")</f>
        <v>0</v>
      </c>
      <c r="H57" s="25" t="str">
        <f>IFERROR(VLOOKUP(Stanje[[#This Row],[Šifra Vrata]],Vrata[],4,FALSE),"")</f>
        <v/>
      </c>
      <c r="I57" s="25" t="str">
        <f>IFERROR(Stanje[[#This Row],[Početan broj vrata]]-Stanje[[#This Row],[Broj montiranih Vrata]]+Stanje[[#This Row],[Broj ulaza Vrata]],"")</f>
        <v/>
      </c>
      <c r="J57" s="25" t="str">
        <f>IFERROR(Stanje[[#This Row],[Početan broj vrata]]-Stanje[[#This Row],[Broj prodanih Vrata]]-Stanje[[#This Row],[Broj montiranih Vrata]]+Stanje[[#This Row],[Broj ulaza Vrata]],"")</f>
        <v/>
      </c>
      <c r="K57" s="45"/>
      <c r="L57" s="50" t="str">
        <f>IFERROR(IF(ISBLANK(Ulaz_izlaz[[#This Row],[Šifra vodilice]]),"",Ulaz_izlaz[[#This Row],[Šifra vodilice]]),"")</f>
        <v/>
      </c>
      <c r="M57" s="50">
        <f>SUMIFS(Upis_stavki!L:L,Upis_stavki!F:F,Stanje[[#This Row],[Šifra vodilica]],Upis_stavki!J:J,"Ulaz")</f>
        <v>0</v>
      </c>
      <c r="N57" s="50">
        <f>SUMIFS(Upis_stavki!L:L,Upis_stavki!F:F,Stanje[[#This Row],[Šifra vodilica]],Upis_stavki!J:J,"Montirano")</f>
        <v>0</v>
      </c>
      <c r="O57" s="25">
        <f>SUMIFS(Upis_stavki!L:L,Upis_stavki!F:F,Stanje[[#This Row],[Šifra vodilica]],Upis_stavki!J:J,"Prodano")</f>
        <v>0</v>
      </c>
      <c r="P57" s="25" t="str">
        <f>IFERROR(VLOOKUP(Stanje[[#This Row],[Šifra vodilica]],baza_vodilica[],3,FALSE),"")</f>
        <v/>
      </c>
      <c r="Q57" s="25" t="str">
        <f>IFERROR(Stanje[[#This Row],[Početan broj vodilica]]-Stanje[[#This Row],[Broj montiranih vodilica]]+Stanje[[#This Row],[Broj ulaza vodilica]],"")</f>
        <v/>
      </c>
      <c r="R57" s="25" t="str">
        <f>IFERROR(Stanje[[#This Row],[Početan broj vodilica]]-Stanje[[#This Row],[Broj prodanih vodilica]]-Stanje[[#This Row],[Broj montiranih vodilica]]+Stanje[[#This Row],[Broj ulaza vodilica]],"")</f>
        <v/>
      </c>
      <c r="S57" s="45"/>
      <c r="T57" s="25" t="str">
        <f>IFERROR(IF(ISBLANK(Ulaz_izlaz[[#This Row],[Šifra motora]]),"",Ulaz_izlaz[[#This Row],[Šifra motora]]),"")</f>
        <v/>
      </c>
      <c r="U57" s="50">
        <f>SUMIFS(Upis_stavki!K:K,Upis_stavki!H:H,Stanje[[#This Row],[Šifra motora]],Upis_stavki!J:J,"Ulaz")</f>
        <v>0</v>
      </c>
      <c r="V57" s="25">
        <f>SUMIFS(Upis_stavki!K:K,Upis_stavki!H:H,Stanje[[#This Row],[Šifra motora]],Upis_stavki!J:J,"Montirano")</f>
        <v>0</v>
      </c>
      <c r="W57" s="25">
        <f>SUMIFS(Upis_stavki!K:K,Upis_stavki!H:H,Stanje[[#This Row],[Šifra motora]],Upis_stavki!J:J,"Prodano")</f>
        <v>0</v>
      </c>
      <c r="X57" s="50" t="str">
        <f>IFERROR(VLOOKUP(Stanje[[#This Row],[Šifra motora]],baza_motora[],3,FALSE),"")</f>
        <v/>
      </c>
      <c r="Y57" s="50" t="str">
        <f>IFERROR(Stanje[[#This Row],[Početan broj motora]]-Stanje[[#This Row],[Broj montiranih motora]]+Stanje[[#This Row],[Broj ulaza motora]],"")</f>
        <v/>
      </c>
      <c r="Z57" s="25" t="str">
        <f>IFERROR(Stanje[[#This Row],[Početan broj motora]]-Stanje[[#This Row],[Broj prodanih motora]]-Stanje[[#This Row],[Broj montiranih motora]]+Stanje[[#This Row],[Broj ulaza motora]],"")</f>
        <v/>
      </c>
    </row>
    <row r="58" spans="1:26" x14ac:dyDescent="0.35">
      <c r="A58" s="51">
        <v>44660</v>
      </c>
      <c r="B58" s="25" t="str">
        <f>IFERROR(IF(ISBLANK(Ulaz_izlaz[[#This Row],[Šifra proizvoda vrata]]),"",Ulaz_izlaz[[#This Row],[Šifra proizvoda vrata]]),"")</f>
        <v/>
      </c>
      <c r="C58" s="25" t="str">
        <f>IFERROR(VLOOKUP(Stanje[[#This Row],[Šifra Vrata]],Vrata[],2,FALSE),"")</f>
        <v/>
      </c>
      <c r="D58" s="25" t="str">
        <f>IFERROR(VLOOKUP(Stanje[[#This Row],[Šifra Vrata]],Vrata[],3,FALSE),"")</f>
        <v/>
      </c>
      <c r="E58" s="25">
        <f>SUMIFS(Upis_stavki!M:M,Upis_stavki!B:B,Stanje[[#This Row],[Šifra Vrata]],Upis_stavki!J:J,"Ulaz")</f>
        <v>0</v>
      </c>
      <c r="F58" s="50">
        <f>SUMIFS(Upis_stavki!M:M,Upis_stavki!B:B,Stanje[[#This Row],[Šifra Vrata]],Upis_stavki!J:J,"Montirano")</f>
        <v>0</v>
      </c>
      <c r="G58" s="50">
        <f>SUMIFS(Upis_stavki!M:M,Upis_stavki!B:B,Stanje[[#This Row],[Šifra Vrata]],Upis_stavki!J:J,"Prodano")</f>
        <v>0</v>
      </c>
      <c r="H58" s="25" t="str">
        <f>IFERROR(VLOOKUP(Stanje[[#This Row],[Šifra Vrata]],Vrata[],4,FALSE),"")</f>
        <v/>
      </c>
      <c r="I58" s="25" t="str">
        <f>IFERROR(Stanje[[#This Row],[Početan broj vrata]]-Stanje[[#This Row],[Broj montiranih Vrata]]+Stanje[[#This Row],[Broj ulaza Vrata]],"")</f>
        <v/>
      </c>
      <c r="J58" s="25" t="str">
        <f>IFERROR(Stanje[[#This Row],[Početan broj vrata]]-Stanje[[#This Row],[Broj prodanih Vrata]]-Stanje[[#This Row],[Broj montiranih Vrata]]+Stanje[[#This Row],[Broj ulaza Vrata]],"")</f>
        <v/>
      </c>
      <c r="K58" s="45"/>
      <c r="L58" s="50" t="str">
        <f>IFERROR(IF(ISBLANK(Ulaz_izlaz[[#This Row],[Šifra vodilice]]),"",Ulaz_izlaz[[#This Row],[Šifra vodilice]]),"")</f>
        <v/>
      </c>
      <c r="M58" s="50">
        <f>SUMIFS(Upis_stavki!L:L,Upis_stavki!F:F,Stanje[[#This Row],[Šifra vodilica]],Upis_stavki!J:J,"Ulaz")</f>
        <v>0</v>
      </c>
      <c r="N58" s="50">
        <f>SUMIFS(Upis_stavki!L:L,Upis_stavki!F:F,Stanje[[#This Row],[Šifra vodilica]],Upis_stavki!J:J,"Montirano")</f>
        <v>0</v>
      </c>
      <c r="O58" s="25">
        <f>SUMIFS(Upis_stavki!L:L,Upis_stavki!F:F,Stanje[[#This Row],[Šifra vodilica]],Upis_stavki!J:J,"Prodano")</f>
        <v>0</v>
      </c>
      <c r="P58" s="25" t="str">
        <f>IFERROR(VLOOKUP(Stanje[[#This Row],[Šifra vodilica]],baza_vodilica[],3,FALSE),"")</f>
        <v/>
      </c>
      <c r="Q58" s="25" t="str">
        <f>IFERROR(Stanje[[#This Row],[Početan broj vodilica]]-Stanje[[#This Row],[Broj montiranih vodilica]]+Stanje[[#This Row],[Broj ulaza vodilica]],"")</f>
        <v/>
      </c>
      <c r="R58" s="25" t="str">
        <f>IFERROR(Stanje[[#This Row],[Početan broj vodilica]]-Stanje[[#This Row],[Broj prodanih vodilica]]-Stanje[[#This Row],[Broj montiranih vodilica]]+Stanje[[#This Row],[Broj ulaza vodilica]],"")</f>
        <v/>
      </c>
      <c r="S58" s="45"/>
      <c r="T58" s="25" t="str">
        <f>IFERROR(IF(ISBLANK(Ulaz_izlaz[[#This Row],[Šifra motora]]),"",Ulaz_izlaz[[#This Row],[Šifra motora]]),"")</f>
        <v/>
      </c>
      <c r="U58" s="50">
        <f>SUMIFS(Upis_stavki!K:K,Upis_stavki!H:H,Stanje[[#This Row],[Šifra motora]],Upis_stavki!J:J,"Ulaz")</f>
        <v>0</v>
      </c>
      <c r="V58" s="25">
        <f>SUMIFS(Upis_stavki!K:K,Upis_stavki!H:H,Stanje[[#This Row],[Šifra motora]],Upis_stavki!J:J,"Montirano")</f>
        <v>0</v>
      </c>
      <c r="W58" s="25">
        <f>SUMIFS(Upis_stavki!K:K,Upis_stavki!H:H,Stanje[[#This Row],[Šifra motora]],Upis_stavki!J:J,"Prodano")</f>
        <v>0</v>
      </c>
      <c r="X58" s="50" t="str">
        <f>IFERROR(VLOOKUP(Stanje[[#This Row],[Šifra motora]],baza_motora[],3,FALSE),"")</f>
        <v/>
      </c>
      <c r="Y58" s="50" t="str">
        <f>IFERROR(Stanje[[#This Row],[Početan broj motora]]-Stanje[[#This Row],[Broj montiranih motora]]+Stanje[[#This Row],[Broj ulaza motora]],"")</f>
        <v/>
      </c>
      <c r="Z58" s="25" t="str">
        <f>IFERROR(Stanje[[#This Row],[Početan broj motora]]-Stanje[[#This Row],[Broj prodanih motora]]-Stanje[[#This Row],[Broj montiranih motora]]+Stanje[[#This Row],[Broj ulaza motora]],"")</f>
        <v/>
      </c>
    </row>
    <row r="59" spans="1:26" x14ac:dyDescent="0.35">
      <c r="A59" s="51">
        <v>44661</v>
      </c>
      <c r="B59" s="25" t="str">
        <f>IFERROR(IF(ISBLANK(Ulaz_izlaz[[#This Row],[Šifra proizvoda vrata]]),"",Ulaz_izlaz[[#This Row],[Šifra proizvoda vrata]]),"")</f>
        <v/>
      </c>
      <c r="C59" s="25" t="str">
        <f>IFERROR(VLOOKUP(Stanje[[#This Row],[Šifra Vrata]],Vrata[],2,FALSE),"")</f>
        <v/>
      </c>
      <c r="D59" s="25" t="str">
        <f>IFERROR(VLOOKUP(Stanje[[#This Row],[Šifra Vrata]],Vrata[],3,FALSE),"")</f>
        <v/>
      </c>
      <c r="E59" s="25">
        <f>SUMIFS(Upis_stavki!M:M,Upis_stavki!B:B,Stanje[[#This Row],[Šifra Vrata]],Upis_stavki!J:J,"Ulaz")</f>
        <v>0</v>
      </c>
      <c r="F59" s="50">
        <f>SUMIFS(Upis_stavki!M:M,Upis_stavki!B:B,Stanje[[#This Row],[Šifra Vrata]],Upis_stavki!J:J,"Montirano")</f>
        <v>0</v>
      </c>
      <c r="G59" s="50">
        <f>SUMIFS(Upis_stavki!M:M,Upis_stavki!B:B,Stanje[[#This Row],[Šifra Vrata]],Upis_stavki!J:J,"Prodano")</f>
        <v>0</v>
      </c>
      <c r="H59" s="25" t="str">
        <f>IFERROR(VLOOKUP(Stanje[[#This Row],[Šifra Vrata]],Vrata[],4,FALSE),"")</f>
        <v/>
      </c>
      <c r="I59" s="25" t="str">
        <f>IFERROR(Stanje[[#This Row],[Početan broj vrata]]-Stanje[[#This Row],[Broj montiranih Vrata]]+Stanje[[#This Row],[Broj ulaza Vrata]],"")</f>
        <v/>
      </c>
      <c r="J59" s="25" t="str">
        <f>IFERROR(Stanje[[#This Row],[Početan broj vrata]]-Stanje[[#This Row],[Broj prodanih Vrata]]-Stanje[[#This Row],[Broj montiranih Vrata]]+Stanje[[#This Row],[Broj ulaza Vrata]],"")</f>
        <v/>
      </c>
      <c r="K59" s="45"/>
      <c r="L59" s="50" t="str">
        <f>IFERROR(IF(ISBLANK(Ulaz_izlaz[[#This Row],[Šifra vodilice]]),"",Ulaz_izlaz[[#This Row],[Šifra vodilice]]),"")</f>
        <v/>
      </c>
      <c r="M59" s="50">
        <f>SUMIFS(Upis_stavki!L:L,Upis_stavki!F:F,Stanje[[#This Row],[Šifra vodilica]],Upis_stavki!J:J,"Ulaz")</f>
        <v>0</v>
      </c>
      <c r="N59" s="50">
        <f>SUMIFS(Upis_stavki!L:L,Upis_stavki!F:F,Stanje[[#This Row],[Šifra vodilica]],Upis_stavki!J:J,"Montirano")</f>
        <v>0</v>
      </c>
      <c r="O59" s="25">
        <f>SUMIFS(Upis_stavki!L:L,Upis_stavki!F:F,Stanje[[#This Row],[Šifra vodilica]],Upis_stavki!J:J,"Prodano")</f>
        <v>0</v>
      </c>
      <c r="P59" s="25" t="str">
        <f>IFERROR(VLOOKUP(Stanje[[#This Row],[Šifra vodilica]],baza_vodilica[],3,FALSE),"")</f>
        <v/>
      </c>
      <c r="Q59" s="25" t="str">
        <f>IFERROR(Stanje[[#This Row],[Početan broj vodilica]]-Stanje[[#This Row],[Broj montiranih vodilica]]+Stanje[[#This Row],[Broj ulaza vodilica]],"")</f>
        <v/>
      </c>
      <c r="R59" s="25" t="str">
        <f>IFERROR(Stanje[[#This Row],[Početan broj vodilica]]-Stanje[[#This Row],[Broj prodanih vodilica]]-Stanje[[#This Row],[Broj montiranih vodilica]]+Stanje[[#This Row],[Broj ulaza vodilica]],"")</f>
        <v/>
      </c>
      <c r="S59" s="45"/>
      <c r="T59" s="25" t="str">
        <f>IFERROR(IF(ISBLANK(Ulaz_izlaz[[#This Row],[Šifra motora]]),"",Ulaz_izlaz[[#This Row],[Šifra motora]]),"")</f>
        <v/>
      </c>
      <c r="U59" s="50">
        <f>SUMIFS(Upis_stavki!K:K,Upis_stavki!H:H,Stanje[[#This Row],[Šifra motora]],Upis_stavki!J:J,"Ulaz")</f>
        <v>0</v>
      </c>
      <c r="V59" s="25">
        <f>SUMIFS(Upis_stavki!K:K,Upis_stavki!H:H,Stanje[[#This Row],[Šifra motora]],Upis_stavki!J:J,"Montirano")</f>
        <v>0</v>
      </c>
      <c r="W59" s="25">
        <f>SUMIFS(Upis_stavki!K:K,Upis_stavki!H:H,Stanje[[#This Row],[Šifra motora]],Upis_stavki!J:J,"Prodano")</f>
        <v>0</v>
      </c>
      <c r="X59" s="50" t="str">
        <f>IFERROR(VLOOKUP(Stanje[[#This Row],[Šifra motora]],baza_motora[],3,FALSE),"")</f>
        <v/>
      </c>
      <c r="Y59" s="50" t="str">
        <f>IFERROR(Stanje[[#This Row],[Početan broj motora]]-Stanje[[#This Row],[Broj montiranih motora]]+Stanje[[#This Row],[Broj ulaza motora]],"")</f>
        <v/>
      </c>
      <c r="Z59" s="25" t="str">
        <f>IFERROR(Stanje[[#This Row],[Početan broj motora]]-Stanje[[#This Row],[Broj prodanih motora]]-Stanje[[#This Row],[Broj montiranih motora]]+Stanje[[#This Row],[Broj ulaza motora]],"")</f>
        <v/>
      </c>
    </row>
    <row r="60" spans="1:26" x14ac:dyDescent="0.35">
      <c r="A60" s="51">
        <v>44662</v>
      </c>
      <c r="B60" s="25" t="str">
        <f>IFERROR(IF(ISBLANK(Ulaz_izlaz[[#This Row],[Šifra proizvoda vrata]]),"",Ulaz_izlaz[[#This Row],[Šifra proizvoda vrata]]),"")</f>
        <v/>
      </c>
      <c r="C60" s="25" t="str">
        <f>IFERROR(VLOOKUP(Stanje[[#This Row],[Šifra Vrata]],Vrata[],2,FALSE),"")</f>
        <v/>
      </c>
      <c r="D60" s="25" t="str">
        <f>IFERROR(VLOOKUP(Stanje[[#This Row],[Šifra Vrata]],Vrata[],3,FALSE),"")</f>
        <v/>
      </c>
      <c r="E60" s="25">
        <f>SUMIFS(Upis_stavki!M:M,Upis_stavki!B:B,Stanje[[#This Row],[Šifra Vrata]],Upis_stavki!J:J,"Ulaz")</f>
        <v>0</v>
      </c>
      <c r="F60" s="50">
        <f>SUMIFS(Upis_stavki!M:M,Upis_stavki!B:B,Stanje[[#This Row],[Šifra Vrata]],Upis_stavki!J:J,"Montirano")</f>
        <v>0</v>
      </c>
      <c r="G60" s="50">
        <f>SUMIFS(Upis_stavki!M:M,Upis_stavki!B:B,Stanje[[#This Row],[Šifra Vrata]],Upis_stavki!J:J,"Prodano")</f>
        <v>0</v>
      </c>
      <c r="H60" s="25" t="str">
        <f>IFERROR(VLOOKUP(Stanje[[#This Row],[Šifra Vrata]],Vrata[],4,FALSE),"")</f>
        <v/>
      </c>
      <c r="I60" s="25" t="str">
        <f>IFERROR(Stanje[[#This Row],[Početan broj vrata]]-Stanje[[#This Row],[Broj montiranih Vrata]]+Stanje[[#This Row],[Broj ulaza Vrata]],"")</f>
        <v/>
      </c>
      <c r="J60" s="25" t="str">
        <f>IFERROR(Stanje[[#This Row],[Početan broj vrata]]-Stanje[[#This Row],[Broj prodanih Vrata]]-Stanje[[#This Row],[Broj montiranih Vrata]]+Stanje[[#This Row],[Broj ulaza Vrata]],"")</f>
        <v/>
      </c>
      <c r="K60" s="45"/>
      <c r="L60" s="50" t="str">
        <f>IFERROR(IF(ISBLANK(Ulaz_izlaz[[#This Row],[Šifra vodilice]]),"",Ulaz_izlaz[[#This Row],[Šifra vodilice]]),"")</f>
        <v/>
      </c>
      <c r="M60" s="50">
        <f>SUMIFS(Upis_stavki!L:L,Upis_stavki!F:F,Stanje[[#This Row],[Šifra vodilica]],Upis_stavki!J:J,"Ulaz")</f>
        <v>0</v>
      </c>
      <c r="N60" s="50">
        <f>SUMIFS(Upis_stavki!L:L,Upis_stavki!F:F,Stanje[[#This Row],[Šifra vodilica]],Upis_stavki!J:J,"Montirano")</f>
        <v>0</v>
      </c>
      <c r="O60" s="25">
        <f>SUMIFS(Upis_stavki!L:L,Upis_stavki!F:F,Stanje[[#This Row],[Šifra vodilica]],Upis_stavki!J:J,"Prodano")</f>
        <v>0</v>
      </c>
      <c r="P60" s="25" t="str">
        <f>IFERROR(VLOOKUP(Stanje[[#This Row],[Šifra vodilica]],baza_vodilica[],3,FALSE),"")</f>
        <v/>
      </c>
      <c r="Q60" s="25" t="str">
        <f>IFERROR(Stanje[[#This Row],[Početan broj vodilica]]-Stanje[[#This Row],[Broj montiranih vodilica]]+Stanje[[#This Row],[Broj ulaza vodilica]],"")</f>
        <v/>
      </c>
      <c r="R60" s="25" t="str">
        <f>IFERROR(Stanje[[#This Row],[Početan broj vodilica]]-Stanje[[#This Row],[Broj prodanih vodilica]]-Stanje[[#This Row],[Broj montiranih vodilica]]+Stanje[[#This Row],[Broj ulaza vodilica]],"")</f>
        <v/>
      </c>
      <c r="S60" s="45"/>
      <c r="T60" s="25" t="str">
        <f>IFERROR(IF(ISBLANK(Ulaz_izlaz[[#This Row],[Šifra motora]]),"",Ulaz_izlaz[[#This Row],[Šifra motora]]),"")</f>
        <v/>
      </c>
      <c r="U60" s="50">
        <f>SUMIFS(Upis_stavki!K:K,Upis_stavki!H:H,Stanje[[#This Row],[Šifra motora]],Upis_stavki!J:J,"Ulaz")</f>
        <v>0</v>
      </c>
      <c r="V60" s="25">
        <f>SUMIFS(Upis_stavki!K:K,Upis_stavki!H:H,Stanje[[#This Row],[Šifra motora]],Upis_stavki!J:J,"Montirano")</f>
        <v>0</v>
      </c>
      <c r="W60" s="25">
        <f>SUMIFS(Upis_stavki!K:K,Upis_stavki!H:H,Stanje[[#This Row],[Šifra motora]],Upis_stavki!J:J,"Prodano")</f>
        <v>0</v>
      </c>
      <c r="X60" s="50" t="str">
        <f>IFERROR(VLOOKUP(Stanje[[#This Row],[Šifra motora]],baza_motora[],3,FALSE),"")</f>
        <v/>
      </c>
      <c r="Y60" s="50" t="str">
        <f>IFERROR(Stanje[[#This Row],[Početan broj motora]]-Stanje[[#This Row],[Broj montiranih motora]]+Stanje[[#This Row],[Broj ulaza motora]],"")</f>
        <v/>
      </c>
      <c r="Z60" s="25" t="str">
        <f>IFERROR(Stanje[[#This Row],[Početan broj motora]]-Stanje[[#This Row],[Broj prodanih motora]]-Stanje[[#This Row],[Broj montiranih motora]]+Stanje[[#This Row],[Broj ulaza motora]],"")</f>
        <v/>
      </c>
    </row>
    <row r="61" spans="1:26" x14ac:dyDescent="0.35">
      <c r="A61" s="51">
        <v>44663</v>
      </c>
      <c r="B61" s="25" t="str">
        <f>IFERROR(IF(ISBLANK(Ulaz_izlaz[[#This Row],[Šifra proizvoda vrata]]),"",Ulaz_izlaz[[#This Row],[Šifra proizvoda vrata]]),"")</f>
        <v/>
      </c>
      <c r="C61" s="25" t="str">
        <f>IFERROR(VLOOKUP(Stanje[[#This Row],[Šifra Vrata]],Vrata[],2,FALSE),"")</f>
        <v/>
      </c>
      <c r="D61" s="25" t="str">
        <f>IFERROR(VLOOKUP(Stanje[[#This Row],[Šifra Vrata]],Vrata[],3,FALSE),"")</f>
        <v/>
      </c>
      <c r="E61" s="25">
        <f>SUMIFS(Upis_stavki!M:M,Upis_stavki!B:B,Stanje[[#This Row],[Šifra Vrata]],Upis_stavki!J:J,"Ulaz")</f>
        <v>0</v>
      </c>
      <c r="F61" s="50">
        <f>SUMIFS(Upis_stavki!M:M,Upis_stavki!B:B,Stanje[[#This Row],[Šifra Vrata]],Upis_stavki!J:J,"Montirano")</f>
        <v>0</v>
      </c>
      <c r="G61" s="50">
        <f>SUMIFS(Upis_stavki!M:M,Upis_stavki!B:B,Stanje[[#This Row],[Šifra Vrata]],Upis_stavki!J:J,"Prodano")</f>
        <v>0</v>
      </c>
      <c r="H61" s="25" t="str">
        <f>IFERROR(VLOOKUP(Stanje[[#This Row],[Šifra Vrata]],Vrata[],4,FALSE),"")</f>
        <v/>
      </c>
      <c r="I61" s="25" t="str">
        <f>IFERROR(Stanje[[#This Row],[Početan broj vrata]]-Stanje[[#This Row],[Broj montiranih Vrata]]+Stanje[[#This Row],[Broj ulaza Vrata]],"")</f>
        <v/>
      </c>
      <c r="J61" s="25" t="str">
        <f>IFERROR(Stanje[[#This Row],[Početan broj vrata]]-Stanje[[#This Row],[Broj prodanih Vrata]]-Stanje[[#This Row],[Broj montiranih Vrata]]+Stanje[[#This Row],[Broj ulaza Vrata]],"")</f>
        <v/>
      </c>
      <c r="K61" s="45"/>
      <c r="L61" s="50" t="str">
        <f>IFERROR(IF(ISBLANK(Ulaz_izlaz[[#This Row],[Šifra vodilice]]),"",Ulaz_izlaz[[#This Row],[Šifra vodilice]]),"")</f>
        <v/>
      </c>
      <c r="M61" s="50">
        <f>SUMIFS(Upis_stavki!L:L,Upis_stavki!F:F,Stanje[[#This Row],[Šifra vodilica]],Upis_stavki!J:J,"Ulaz")</f>
        <v>0</v>
      </c>
      <c r="N61" s="50">
        <f>SUMIFS(Upis_stavki!L:L,Upis_stavki!F:F,Stanje[[#This Row],[Šifra vodilica]],Upis_stavki!J:J,"Montirano")</f>
        <v>0</v>
      </c>
      <c r="O61" s="25">
        <f>SUMIFS(Upis_stavki!L:L,Upis_stavki!F:F,Stanje[[#This Row],[Šifra vodilica]],Upis_stavki!J:J,"Prodano")</f>
        <v>0</v>
      </c>
      <c r="P61" s="25" t="str">
        <f>IFERROR(VLOOKUP(Stanje[[#This Row],[Šifra vodilica]],baza_vodilica[],3,FALSE),"")</f>
        <v/>
      </c>
      <c r="Q61" s="25" t="str">
        <f>IFERROR(Stanje[[#This Row],[Početan broj vodilica]]-Stanje[[#This Row],[Broj montiranih vodilica]]+Stanje[[#This Row],[Broj ulaza vodilica]],"")</f>
        <v/>
      </c>
      <c r="R61" s="25" t="str">
        <f>IFERROR(Stanje[[#This Row],[Početan broj vodilica]]-Stanje[[#This Row],[Broj prodanih vodilica]]-Stanje[[#This Row],[Broj montiranih vodilica]]+Stanje[[#This Row],[Broj ulaza vodilica]],"")</f>
        <v/>
      </c>
      <c r="S61" s="45"/>
      <c r="T61" s="25" t="str">
        <f>IFERROR(IF(ISBLANK(Ulaz_izlaz[[#This Row],[Šifra motora]]),"",Ulaz_izlaz[[#This Row],[Šifra motora]]),"")</f>
        <v/>
      </c>
      <c r="U61" s="50">
        <f>SUMIFS(Upis_stavki!K:K,Upis_stavki!H:H,Stanje[[#This Row],[Šifra motora]],Upis_stavki!J:J,"Ulaz")</f>
        <v>0</v>
      </c>
      <c r="V61" s="25">
        <f>SUMIFS(Upis_stavki!K:K,Upis_stavki!H:H,Stanje[[#This Row],[Šifra motora]],Upis_stavki!J:J,"Montirano")</f>
        <v>0</v>
      </c>
      <c r="W61" s="25">
        <f>SUMIFS(Upis_stavki!K:K,Upis_stavki!H:H,Stanje[[#This Row],[Šifra motora]],Upis_stavki!J:J,"Prodano")</f>
        <v>0</v>
      </c>
      <c r="X61" s="50" t="str">
        <f>IFERROR(VLOOKUP(Stanje[[#This Row],[Šifra motora]],baza_motora[],3,FALSE),"")</f>
        <v/>
      </c>
      <c r="Y61" s="50" t="str">
        <f>IFERROR(Stanje[[#This Row],[Početan broj motora]]-Stanje[[#This Row],[Broj montiranih motora]]+Stanje[[#This Row],[Broj ulaza motora]],"")</f>
        <v/>
      </c>
      <c r="Z61" s="25" t="str">
        <f>IFERROR(Stanje[[#This Row],[Početan broj motora]]-Stanje[[#This Row],[Broj prodanih motora]]-Stanje[[#This Row],[Broj montiranih motora]]+Stanje[[#This Row],[Broj ulaza motora]],"")</f>
        <v/>
      </c>
    </row>
    <row r="62" spans="1:26" x14ac:dyDescent="0.35">
      <c r="A62" s="51">
        <v>44664</v>
      </c>
      <c r="B62" s="25" t="str">
        <f>IFERROR(IF(ISBLANK(Ulaz_izlaz[[#This Row],[Šifra proizvoda vrata]]),"",Ulaz_izlaz[[#This Row],[Šifra proizvoda vrata]]),"")</f>
        <v/>
      </c>
      <c r="C62" s="25" t="str">
        <f>IFERROR(VLOOKUP(Stanje[[#This Row],[Šifra Vrata]],Vrata[],2,FALSE),"")</f>
        <v/>
      </c>
      <c r="D62" s="25" t="str">
        <f>IFERROR(VLOOKUP(Stanje[[#This Row],[Šifra Vrata]],Vrata[],3,FALSE),"")</f>
        <v/>
      </c>
      <c r="E62" s="25">
        <f>SUMIFS(Upis_stavki!M:M,Upis_stavki!B:B,Stanje[[#This Row],[Šifra Vrata]],Upis_stavki!J:J,"Ulaz")</f>
        <v>0</v>
      </c>
      <c r="F62" s="50">
        <f>SUMIFS(Upis_stavki!M:M,Upis_stavki!B:B,Stanje[[#This Row],[Šifra Vrata]],Upis_stavki!J:J,"Montirano")</f>
        <v>0</v>
      </c>
      <c r="G62" s="50">
        <f>SUMIFS(Upis_stavki!M:M,Upis_stavki!B:B,Stanje[[#This Row],[Šifra Vrata]],Upis_stavki!J:J,"Prodano")</f>
        <v>0</v>
      </c>
      <c r="H62" s="25" t="str">
        <f>IFERROR(VLOOKUP(Stanje[[#This Row],[Šifra Vrata]],Vrata[],4,FALSE),"")</f>
        <v/>
      </c>
      <c r="I62" s="25" t="str">
        <f>IFERROR(Stanje[[#This Row],[Početan broj vrata]]-Stanje[[#This Row],[Broj montiranih Vrata]]+Stanje[[#This Row],[Broj ulaza Vrata]],"")</f>
        <v/>
      </c>
      <c r="J62" s="25" t="str">
        <f>IFERROR(Stanje[[#This Row],[Početan broj vrata]]-Stanje[[#This Row],[Broj prodanih Vrata]]-Stanje[[#This Row],[Broj montiranih Vrata]]+Stanje[[#This Row],[Broj ulaza Vrata]],"")</f>
        <v/>
      </c>
      <c r="K62" s="45"/>
      <c r="L62" s="50" t="str">
        <f>IFERROR(IF(ISBLANK(Ulaz_izlaz[[#This Row],[Šifra vodilice]]),"",Ulaz_izlaz[[#This Row],[Šifra vodilice]]),"")</f>
        <v/>
      </c>
      <c r="M62" s="50">
        <f>SUMIFS(Upis_stavki!L:L,Upis_stavki!F:F,Stanje[[#This Row],[Šifra vodilica]],Upis_stavki!J:J,"Ulaz")</f>
        <v>0</v>
      </c>
      <c r="N62" s="50">
        <f>SUMIFS(Upis_stavki!L:L,Upis_stavki!F:F,Stanje[[#This Row],[Šifra vodilica]],Upis_stavki!J:J,"Montirano")</f>
        <v>0</v>
      </c>
      <c r="O62" s="25">
        <f>SUMIFS(Upis_stavki!L:L,Upis_stavki!F:F,Stanje[[#This Row],[Šifra vodilica]],Upis_stavki!J:J,"Prodano")</f>
        <v>0</v>
      </c>
      <c r="P62" s="25" t="str">
        <f>IFERROR(VLOOKUP(Stanje[[#This Row],[Šifra vodilica]],baza_vodilica[],3,FALSE),"")</f>
        <v/>
      </c>
      <c r="Q62" s="25" t="str">
        <f>IFERROR(Stanje[[#This Row],[Početan broj vodilica]]-Stanje[[#This Row],[Broj montiranih vodilica]]+Stanje[[#This Row],[Broj ulaza vodilica]],"")</f>
        <v/>
      </c>
      <c r="R62" s="25" t="str">
        <f>IFERROR(Stanje[[#This Row],[Početan broj vodilica]]-Stanje[[#This Row],[Broj prodanih vodilica]]-Stanje[[#This Row],[Broj montiranih vodilica]]+Stanje[[#This Row],[Broj ulaza vodilica]],"")</f>
        <v/>
      </c>
      <c r="S62" s="45"/>
      <c r="T62" s="25" t="str">
        <f>IFERROR(IF(ISBLANK(Ulaz_izlaz[[#This Row],[Šifra motora]]),"",Ulaz_izlaz[[#This Row],[Šifra motora]]),"")</f>
        <v/>
      </c>
      <c r="U62" s="50">
        <f>SUMIFS(Upis_stavki!K:K,Upis_stavki!H:H,Stanje[[#This Row],[Šifra motora]],Upis_stavki!J:J,"Ulaz")</f>
        <v>0</v>
      </c>
      <c r="V62" s="25">
        <f>SUMIFS(Upis_stavki!K:K,Upis_stavki!H:H,Stanje[[#This Row],[Šifra motora]],Upis_stavki!J:J,"Montirano")</f>
        <v>0</v>
      </c>
      <c r="W62" s="25">
        <f>SUMIFS(Upis_stavki!K:K,Upis_stavki!H:H,Stanje[[#This Row],[Šifra motora]],Upis_stavki!J:J,"Prodano")</f>
        <v>0</v>
      </c>
      <c r="X62" s="50" t="str">
        <f>IFERROR(VLOOKUP(Stanje[[#This Row],[Šifra motora]],baza_motora[],3,FALSE),"")</f>
        <v/>
      </c>
      <c r="Y62" s="50" t="str">
        <f>IFERROR(Stanje[[#This Row],[Početan broj motora]]-Stanje[[#This Row],[Broj montiranih motora]]+Stanje[[#This Row],[Broj ulaza motora]],"")</f>
        <v/>
      </c>
      <c r="Z62" s="25" t="str">
        <f>IFERROR(Stanje[[#This Row],[Početan broj motora]]-Stanje[[#This Row],[Broj prodanih motora]]-Stanje[[#This Row],[Broj montiranih motora]]+Stanje[[#This Row],[Broj ulaza motora]],"")</f>
        <v/>
      </c>
    </row>
    <row r="63" spans="1:26" x14ac:dyDescent="0.35">
      <c r="A63" s="51">
        <v>44665</v>
      </c>
      <c r="B63" s="25" t="str">
        <f>IFERROR(IF(ISBLANK(Ulaz_izlaz[[#This Row],[Šifra proizvoda vrata]]),"",Ulaz_izlaz[[#This Row],[Šifra proizvoda vrata]]),"")</f>
        <v/>
      </c>
      <c r="C63" s="25" t="str">
        <f>IFERROR(VLOOKUP(Stanje[[#This Row],[Šifra Vrata]],Vrata[],2,FALSE),"")</f>
        <v/>
      </c>
      <c r="D63" s="25" t="str">
        <f>IFERROR(VLOOKUP(Stanje[[#This Row],[Šifra Vrata]],Vrata[],3,FALSE),"")</f>
        <v/>
      </c>
      <c r="E63" s="25">
        <f>SUMIFS(Upis_stavki!M:M,Upis_stavki!B:B,Stanje[[#This Row],[Šifra Vrata]],Upis_stavki!J:J,"Ulaz")</f>
        <v>0</v>
      </c>
      <c r="F63" s="50">
        <f>SUMIFS(Upis_stavki!M:M,Upis_stavki!B:B,Stanje[[#This Row],[Šifra Vrata]],Upis_stavki!J:J,"Montirano")</f>
        <v>0</v>
      </c>
      <c r="G63" s="50">
        <f>SUMIFS(Upis_stavki!M:M,Upis_stavki!B:B,Stanje[[#This Row],[Šifra Vrata]],Upis_stavki!J:J,"Prodano")</f>
        <v>0</v>
      </c>
      <c r="H63" s="25" t="str">
        <f>IFERROR(VLOOKUP(Stanje[[#This Row],[Šifra Vrata]],Vrata[],4,FALSE),"")</f>
        <v/>
      </c>
      <c r="I63" s="25" t="str">
        <f>IFERROR(Stanje[[#This Row],[Početan broj vrata]]-Stanje[[#This Row],[Broj montiranih Vrata]]+Stanje[[#This Row],[Broj ulaza Vrata]],"")</f>
        <v/>
      </c>
      <c r="J63" s="25" t="str">
        <f>IFERROR(Stanje[[#This Row],[Početan broj vrata]]-Stanje[[#This Row],[Broj prodanih Vrata]]-Stanje[[#This Row],[Broj montiranih Vrata]]+Stanje[[#This Row],[Broj ulaza Vrata]],"")</f>
        <v/>
      </c>
      <c r="K63" s="45"/>
      <c r="L63" s="50" t="str">
        <f>IFERROR(IF(ISBLANK(Ulaz_izlaz[[#This Row],[Šifra vodilice]]),"",Ulaz_izlaz[[#This Row],[Šifra vodilice]]),"")</f>
        <v/>
      </c>
      <c r="M63" s="50">
        <f>SUMIFS(Upis_stavki!L:L,Upis_stavki!F:F,Stanje[[#This Row],[Šifra vodilica]],Upis_stavki!J:J,"Ulaz")</f>
        <v>0</v>
      </c>
      <c r="N63" s="50">
        <f>SUMIFS(Upis_stavki!L:L,Upis_stavki!F:F,Stanje[[#This Row],[Šifra vodilica]],Upis_stavki!J:J,"Montirano")</f>
        <v>0</v>
      </c>
      <c r="O63" s="25">
        <f>SUMIFS(Upis_stavki!L:L,Upis_stavki!F:F,Stanje[[#This Row],[Šifra vodilica]],Upis_stavki!J:J,"Prodano")</f>
        <v>0</v>
      </c>
      <c r="P63" s="25" t="str">
        <f>IFERROR(VLOOKUP(Stanje[[#This Row],[Šifra vodilica]],baza_vodilica[],3,FALSE),"")</f>
        <v/>
      </c>
      <c r="Q63" s="25" t="str">
        <f>IFERROR(Stanje[[#This Row],[Početan broj vodilica]]-Stanje[[#This Row],[Broj montiranih vodilica]]+Stanje[[#This Row],[Broj ulaza vodilica]],"")</f>
        <v/>
      </c>
      <c r="R63" s="25" t="str">
        <f>IFERROR(Stanje[[#This Row],[Početan broj vodilica]]-Stanje[[#This Row],[Broj prodanih vodilica]]-Stanje[[#This Row],[Broj montiranih vodilica]]+Stanje[[#This Row],[Broj ulaza vodilica]],"")</f>
        <v/>
      </c>
      <c r="S63" s="45"/>
      <c r="T63" s="25" t="str">
        <f>IFERROR(IF(ISBLANK(Ulaz_izlaz[[#This Row],[Šifra motora]]),"",Ulaz_izlaz[[#This Row],[Šifra motora]]),"")</f>
        <v/>
      </c>
      <c r="U63" s="50">
        <f>SUMIFS(Upis_stavki!K:K,Upis_stavki!H:H,Stanje[[#This Row],[Šifra motora]],Upis_stavki!J:J,"Ulaz")</f>
        <v>0</v>
      </c>
      <c r="V63" s="25">
        <f>SUMIFS(Upis_stavki!K:K,Upis_stavki!H:H,Stanje[[#This Row],[Šifra motora]],Upis_stavki!J:J,"Montirano")</f>
        <v>0</v>
      </c>
      <c r="W63" s="25">
        <f>SUMIFS(Upis_stavki!K:K,Upis_stavki!H:H,Stanje[[#This Row],[Šifra motora]],Upis_stavki!J:J,"Prodano")</f>
        <v>0</v>
      </c>
      <c r="X63" s="50" t="str">
        <f>IFERROR(VLOOKUP(Stanje[[#This Row],[Šifra motora]],baza_motora[],3,FALSE),"")</f>
        <v/>
      </c>
      <c r="Y63" s="50" t="str">
        <f>IFERROR(Stanje[[#This Row],[Početan broj motora]]-Stanje[[#This Row],[Broj montiranih motora]]+Stanje[[#This Row],[Broj ulaza motora]],"")</f>
        <v/>
      </c>
      <c r="Z63" s="25" t="str">
        <f>IFERROR(Stanje[[#This Row],[Početan broj motora]]-Stanje[[#This Row],[Broj prodanih motora]]-Stanje[[#This Row],[Broj montiranih motora]]+Stanje[[#This Row],[Broj ulaza motora]],"")</f>
        <v/>
      </c>
    </row>
    <row r="64" spans="1:26" x14ac:dyDescent="0.35">
      <c r="A64" s="51">
        <v>44666</v>
      </c>
      <c r="B64" s="25" t="str">
        <f>IFERROR(IF(ISBLANK(Ulaz_izlaz[[#This Row],[Šifra proizvoda vrata]]),"",Ulaz_izlaz[[#This Row],[Šifra proizvoda vrata]]),"")</f>
        <v/>
      </c>
      <c r="C64" s="25" t="str">
        <f>IFERROR(VLOOKUP(Stanje[[#This Row],[Šifra Vrata]],Vrata[],2,FALSE),"")</f>
        <v/>
      </c>
      <c r="D64" s="25" t="str">
        <f>IFERROR(VLOOKUP(Stanje[[#This Row],[Šifra Vrata]],Vrata[],3,FALSE),"")</f>
        <v/>
      </c>
      <c r="E64" s="25">
        <f>SUMIFS(Upis_stavki!M:M,Upis_stavki!B:B,Stanje[[#This Row],[Šifra Vrata]],Upis_stavki!J:J,"Ulaz")</f>
        <v>0</v>
      </c>
      <c r="F64" s="50">
        <f>SUMIFS(Upis_stavki!M:M,Upis_stavki!B:B,Stanje[[#This Row],[Šifra Vrata]],Upis_stavki!J:J,"Montirano")</f>
        <v>0</v>
      </c>
      <c r="G64" s="50">
        <f>SUMIFS(Upis_stavki!M:M,Upis_stavki!B:B,Stanje[[#This Row],[Šifra Vrata]],Upis_stavki!J:J,"Prodano")</f>
        <v>0</v>
      </c>
      <c r="H64" s="25" t="str">
        <f>IFERROR(VLOOKUP(Stanje[[#This Row],[Šifra Vrata]],Vrata[],4,FALSE),"")</f>
        <v/>
      </c>
      <c r="I64" s="25" t="str">
        <f>IFERROR(Stanje[[#This Row],[Početan broj vrata]]-Stanje[[#This Row],[Broj montiranih Vrata]]+Stanje[[#This Row],[Broj ulaza Vrata]],"")</f>
        <v/>
      </c>
      <c r="J64" s="25" t="str">
        <f>IFERROR(Stanje[[#This Row],[Početan broj vrata]]-Stanje[[#This Row],[Broj prodanih Vrata]]-Stanje[[#This Row],[Broj montiranih Vrata]]+Stanje[[#This Row],[Broj ulaza Vrata]],"")</f>
        <v/>
      </c>
      <c r="K64" s="45"/>
      <c r="L64" s="50" t="str">
        <f>IFERROR(IF(ISBLANK(Ulaz_izlaz[[#This Row],[Šifra vodilice]]),"",Ulaz_izlaz[[#This Row],[Šifra vodilice]]),"")</f>
        <v/>
      </c>
      <c r="M64" s="50">
        <f>SUMIFS(Upis_stavki!L:L,Upis_stavki!F:F,Stanje[[#This Row],[Šifra vodilica]],Upis_stavki!J:J,"Ulaz")</f>
        <v>0</v>
      </c>
      <c r="N64" s="50">
        <f>SUMIFS(Upis_stavki!L:L,Upis_stavki!F:F,Stanje[[#This Row],[Šifra vodilica]],Upis_stavki!J:J,"Montirano")</f>
        <v>0</v>
      </c>
      <c r="O64" s="25">
        <f>SUMIFS(Upis_stavki!L:L,Upis_stavki!F:F,Stanje[[#This Row],[Šifra vodilica]],Upis_stavki!J:J,"Prodano")</f>
        <v>0</v>
      </c>
      <c r="P64" s="25" t="str">
        <f>IFERROR(VLOOKUP(Stanje[[#This Row],[Šifra vodilica]],baza_vodilica[],3,FALSE),"")</f>
        <v/>
      </c>
      <c r="Q64" s="25" t="str">
        <f>IFERROR(Stanje[[#This Row],[Početan broj vodilica]]-Stanje[[#This Row],[Broj montiranih vodilica]]+Stanje[[#This Row],[Broj ulaza vodilica]],"")</f>
        <v/>
      </c>
      <c r="R64" s="25" t="str">
        <f>IFERROR(Stanje[[#This Row],[Početan broj vodilica]]-Stanje[[#This Row],[Broj prodanih vodilica]]-Stanje[[#This Row],[Broj montiranih vodilica]]+Stanje[[#This Row],[Broj ulaza vodilica]],"")</f>
        <v/>
      </c>
      <c r="S64" s="45"/>
      <c r="T64" s="25" t="str">
        <f>IFERROR(IF(ISBLANK(Ulaz_izlaz[[#This Row],[Šifra motora]]),"",Ulaz_izlaz[[#This Row],[Šifra motora]]),"")</f>
        <v/>
      </c>
      <c r="U64" s="50">
        <f>SUMIFS(Upis_stavki!K:K,Upis_stavki!H:H,Stanje[[#This Row],[Šifra motora]],Upis_stavki!J:J,"Ulaz")</f>
        <v>0</v>
      </c>
      <c r="V64" s="25">
        <f>SUMIFS(Upis_stavki!K:K,Upis_stavki!H:H,Stanje[[#This Row],[Šifra motora]],Upis_stavki!J:J,"Montirano")</f>
        <v>0</v>
      </c>
      <c r="W64" s="25">
        <f>SUMIFS(Upis_stavki!K:K,Upis_stavki!H:H,Stanje[[#This Row],[Šifra motora]],Upis_stavki!J:J,"Prodano")</f>
        <v>0</v>
      </c>
      <c r="X64" s="50" t="str">
        <f>IFERROR(VLOOKUP(Stanje[[#This Row],[Šifra motora]],baza_motora[],3,FALSE),"")</f>
        <v/>
      </c>
      <c r="Y64" s="50" t="str">
        <f>IFERROR(Stanje[[#This Row],[Početan broj motora]]-Stanje[[#This Row],[Broj montiranih motora]]+Stanje[[#This Row],[Broj ulaza motora]],"")</f>
        <v/>
      </c>
      <c r="Z64" s="25" t="str">
        <f>IFERROR(Stanje[[#This Row],[Početan broj motora]]-Stanje[[#This Row],[Broj prodanih motora]]-Stanje[[#This Row],[Broj montiranih motora]]+Stanje[[#This Row],[Broj ulaza motora]],"")</f>
        <v/>
      </c>
    </row>
    <row r="65" spans="1:26" x14ac:dyDescent="0.35">
      <c r="A65" s="51">
        <v>44667</v>
      </c>
      <c r="B65" s="25" t="str">
        <f>IFERROR(IF(ISBLANK(Ulaz_izlaz[[#This Row],[Šifra proizvoda vrata]]),"",Ulaz_izlaz[[#This Row],[Šifra proizvoda vrata]]),"")</f>
        <v/>
      </c>
      <c r="C65" s="25" t="str">
        <f>IFERROR(VLOOKUP(Stanje[[#This Row],[Šifra Vrata]],Vrata[],2,FALSE),"")</f>
        <v/>
      </c>
      <c r="D65" s="25" t="str">
        <f>IFERROR(VLOOKUP(Stanje[[#This Row],[Šifra Vrata]],Vrata[],3,FALSE),"")</f>
        <v/>
      </c>
      <c r="E65" s="25">
        <f>SUMIFS(Upis_stavki!M:M,Upis_stavki!B:B,Stanje[[#This Row],[Šifra Vrata]],Upis_stavki!J:J,"Ulaz")</f>
        <v>0</v>
      </c>
      <c r="F65" s="50">
        <f>SUMIFS(Upis_stavki!M:M,Upis_stavki!B:B,Stanje[[#This Row],[Šifra Vrata]],Upis_stavki!J:J,"Montirano")</f>
        <v>0</v>
      </c>
      <c r="G65" s="50">
        <f>SUMIFS(Upis_stavki!M:M,Upis_stavki!B:B,Stanje[[#This Row],[Šifra Vrata]],Upis_stavki!J:J,"Prodano")</f>
        <v>0</v>
      </c>
      <c r="H65" s="25" t="str">
        <f>IFERROR(VLOOKUP(Stanje[[#This Row],[Šifra Vrata]],Vrata[],4,FALSE),"")</f>
        <v/>
      </c>
      <c r="I65" s="25" t="str">
        <f>IFERROR(Stanje[[#This Row],[Početan broj vrata]]-Stanje[[#This Row],[Broj montiranih Vrata]]+Stanje[[#This Row],[Broj ulaza Vrata]],"")</f>
        <v/>
      </c>
      <c r="J65" s="25" t="str">
        <f>IFERROR(Stanje[[#This Row],[Početan broj vrata]]-Stanje[[#This Row],[Broj prodanih Vrata]]-Stanje[[#This Row],[Broj montiranih Vrata]]+Stanje[[#This Row],[Broj ulaza Vrata]],"")</f>
        <v/>
      </c>
      <c r="K65" s="45"/>
      <c r="L65" s="50" t="str">
        <f>IFERROR(IF(ISBLANK(Ulaz_izlaz[[#This Row],[Šifra vodilice]]),"",Ulaz_izlaz[[#This Row],[Šifra vodilice]]),"")</f>
        <v/>
      </c>
      <c r="M65" s="50">
        <f>SUMIFS(Upis_stavki!L:L,Upis_stavki!F:F,Stanje[[#This Row],[Šifra vodilica]],Upis_stavki!J:J,"Ulaz")</f>
        <v>0</v>
      </c>
      <c r="N65" s="50">
        <f>SUMIFS(Upis_stavki!L:L,Upis_stavki!F:F,Stanje[[#This Row],[Šifra vodilica]],Upis_stavki!J:J,"Montirano")</f>
        <v>0</v>
      </c>
      <c r="O65" s="25">
        <f>SUMIFS(Upis_stavki!L:L,Upis_stavki!F:F,Stanje[[#This Row],[Šifra vodilica]],Upis_stavki!J:J,"Prodano")</f>
        <v>0</v>
      </c>
      <c r="P65" s="25" t="str">
        <f>IFERROR(VLOOKUP(Stanje[[#This Row],[Šifra vodilica]],baza_vodilica[],3,FALSE),"")</f>
        <v/>
      </c>
      <c r="Q65" s="25" t="str">
        <f>IFERROR(Stanje[[#This Row],[Početan broj vodilica]]-Stanje[[#This Row],[Broj montiranih vodilica]]+Stanje[[#This Row],[Broj ulaza vodilica]],"")</f>
        <v/>
      </c>
      <c r="R65" s="25" t="str">
        <f>IFERROR(Stanje[[#This Row],[Početan broj vodilica]]-Stanje[[#This Row],[Broj prodanih vodilica]]-Stanje[[#This Row],[Broj montiranih vodilica]]+Stanje[[#This Row],[Broj ulaza vodilica]],"")</f>
        <v/>
      </c>
      <c r="S65" s="45"/>
      <c r="T65" s="25" t="str">
        <f>IFERROR(IF(ISBLANK(Ulaz_izlaz[[#This Row],[Šifra motora]]),"",Ulaz_izlaz[[#This Row],[Šifra motora]]),"")</f>
        <v/>
      </c>
      <c r="U65" s="50">
        <f>SUMIFS(Upis_stavki!K:K,Upis_stavki!H:H,Stanje[[#This Row],[Šifra motora]],Upis_stavki!J:J,"Ulaz")</f>
        <v>0</v>
      </c>
      <c r="V65" s="25">
        <f>SUMIFS(Upis_stavki!K:K,Upis_stavki!H:H,Stanje[[#This Row],[Šifra motora]],Upis_stavki!J:J,"Montirano")</f>
        <v>0</v>
      </c>
      <c r="W65" s="25">
        <f>SUMIFS(Upis_stavki!K:K,Upis_stavki!H:H,Stanje[[#This Row],[Šifra motora]],Upis_stavki!J:J,"Prodano")</f>
        <v>0</v>
      </c>
      <c r="X65" s="50" t="str">
        <f>IFERROR(VLOOKUP(Stanje[[#This Row],[Šifra motora]],baza_motora[],3,FALSE),"")</f>
        <v/>
      </c>
      <c r="Y65" s="50" t="str">
        <f>IFERROR(Stanje[[#This Row],[Početan broj motora]]-Stanje[[#This Row],[Broj montiranih motora]]+Stanje[[#This Row],[Broj ulaza motora]],"")</f>
        <v/>
      </c>
      <c r="Z65" s="25" t="str">
        <f>IFERROR(Stanje[[#This Row],[Početan broj motora]]-Stanje[[#This Row],[Broj prodanih motora]]-Stanje[[#This Row],[Broj montiranih motora]]+Stanje[[#This Row],[Broj ulaza motora]],"")</f>
        <v/>
      </c>
    </row>
    <row r="66" spans="1:26" x14ac:dyDescent="0.35">
      <c r="A66" s="51">
        <v>44668</v>
      </c>
      <c r="B66" s="25" t="str">
        <f>IFERROR(IF(ISBLANK(Ulaz_izlaz[[#This Row],[Šifra proizvoda vrata]]),"",Ulaz_izlaz[[#This Row],[Šifra proizvoda vrata]]),"")</f>
        <v/>
      </c>
      <c r="C66" s="25" t="str">
        <f>IFERROR(VLOOKUP(Stanje[[#This Row],[Šifra Vrata]],Vrata[],2,FALSE),"")</f>
        <v/>
      </c>
      <c r="D66" s="25" t="str">
        <f>IFERROR(VLOOKUP(Stanje[[#This Row],[Šifra Vrata]],Vrata[],3,FALSE),"")</f>
        <v/>
      </c>
      <c r="E66" s="25">
        <f>SUMIFS(Upis_stavki!M:M,Upis_stavki!B:B,Stanje[[#This Row],[Šifra Vrata]],Upis_stavki!J:J,"Ulaz")</f>
        <v>0</v>
      </c>
      <c r="F66" s="50">
        <f>SUMIFS(Upis_stavki!M:M,Upis_stavki!B:B,Stanje[[#This Row],[Šifra Vrata]],Upis_stavki!J:J,"Montirano")</f>
        <v>0</v>
      </c>
      <c r="G66" s="50">
        <f>SUMIFS(Upis_stavki!M:M,Upis_stavki!B:B,Stanje[[#This Row],[Šifra Vrata]],Upis_stavki!J:J,"Prodano")</f>
        <v>0</v>
      </c>
      <c r="H66" s="25" t="str">
        <f>IFERROR(VLOOKUP(Stanje[[#This Row],[Šifra Vrata]],Vrata[],4,FALSE),"")</f>
        <v/>
      </c>
      <c r="I66" s="25" t="str">
        <f>IFERROR(Stanje[[#This Row],[Početan broj vrata]]-Stanje[[#This Row],[Broj montiranih Vrata]]+Stanje[[#This Row],[Broj ulaza Vrata]],"")</f>
        <v/>
      </c>
      <c r="J66" s="25" t="str">
        <f>IFERROR(Stanje[[#This Row],[Početan broj vrata]]-Stanje[[#This Row],[Broj prodanih Vrata]]-Stanje[[#This Row],[Broj montiranih Vrata]]+Stanje[[#This Row],[Broj ulaza Vrata]],"")</f>
        <v/>
      </c>
      <c r="K66" s="45"/>
      <c r="L66" s="50" t="str">
        <f>IFERROR(IF(ISBLANK(Ulaz_izlaz[[#This Row],[Šifra vodilice]]),"",Ulaz_izlaz[[#This Row],[Šifra vodilice]]),"")</f>
        <v/>
      </c>
      <c r="M66" s="50">
        <f>SUMIFS(Upis_stavki!L:L,Upis_stavki!F:F,Stanje[[#This Row],[Šifra vodilica]],Upis_stavki!J:J,"Ulaz")</f>
        <v>0</v>
      </c>
      <c r="N66" s="50">
        <f>SUMIFS(Upis_stavki!L:L,Upis_stavki!F:F,Stanje[[#This Row],[Šifra vodilica]],Upis_stavki!J:J,"Montirano")</f>
        <v>0</v>
      </c>
      <c r="O66" s="25">
        <f>SUMIFS(Upis_stavki!L:L,Upis_stavki!F:F,Stanje[[#This Row],[Šifra vodilica]],Upis_stavki!J:J,"Prodano")</f>
        <v>0</v>
      </c>
      <c r="P66" s="25" t="str">
        <f>IFERROR(VLOOKUP(Stanje[[#This Row],[Šifra vodilica]],baza_vodilica[],3,FALSE),"")</f>
        <v/>
      </c>
      <c r="Q66" s="25" t="str">
        <f>IFERROR(Stanje[[#This Row],[Početan broj vodilica]]-Stanje[[#This Row],[Broj montiranih vodilica]]+Stanje[[#This Row],[Broj ulaza vodilica]],"")</f>
        <v/>
      </c>
      <c r="R66" s="25" t="str">
        <f>IFERROR(Stanje[[#This Row],[Početan broj vodilica]]-Stanje[[#This Row],[Broj prodanih vodilica]]-Stanje[[#This Row],[Broj montiranih vodilica]]+Stanje[[#This Row],[Broj ulaza vodilica]],"")</f>
        <v/>
      </c>
      <c r="S66" s="45"/>
      <c r="T66" s="25" t="str">
        <f>IFERROR(IF(ISBLANK(Ulaz_izlaz[[#This Row],[Šifra motora]]),"",Ulaz_izlaz[[#This Row],[Šifra motora]]),"")</f>
        <v/>
      </c>
      <c r="U66" s="50">
        <f>SUMIFS(Upis_stavki!K:K,Upis_stavki!H:H,Stanje[[#This Row],[Šifra motora]],Upis_stavki!J:J,"Ulaz")</f>
        <v>0</v>
      </c>
      <c r="V66" s="25">
        <f>SUMIFS(Upis_stavki!K:K,Upis_stavki!H:H,Stanje[[#This Row],[Šifra motora]],Upis_stavki!J:J,"Montirano")</f>
        <v>0</v>
      </c>
      <c r="W66" s="25">
        <f>SUMIFS(Upis_stavki!K:K,Upis_stavki!H:H,Stanje[[#This Row],[Šifra motora]],Upis_stavki!J:J,"Prodano")</f>
        <v>0</v>
      </c>
      <c r="X66" s="50" t="str">
        <f>IFERROR(VLOOKUP(Stanje[[#This Row],[Šifra motora]],baza_motora[],3,FALSE),"")</f>
        <v/>
      </c>
      <c r="Y66" s="50" t="str">
        <f>IFERROR(Stanje[[#This Row],[Početan broj motora]]-Stanje[[#This Row],[Broj montiranih motora]]+Stanje[[#This Row],[Broj ulaza motora]],"")</f>
        <v/>
      </c>
      <c r="Z66" s="25" t="str">
        <f>IFERROR(Stanje[[#This Row],[Početan broj motora]]-Stanje[[#This Row],[Broj prodanih motora]]-Stanje[[#This Row],[Broj montiranih motora]]+Stanje[[#This Row],[Broj ulaza motora]],"")</f>
        <v/>
      </c>
    </row>
    <row r="67" spans="1:26" x14ac:dyDescent="0.35">
      <c r="A67" s="51">
        <v>44669</v>
      </c>
      <c r="B67" s="25" t="str">
        <f>IFERROR(IF(ISBLANK(Ulaz_izlaz[[#This Row],[Šifra proizvoda vrata]]),"",Ulaz_izlaz[[#This Row],[Šifra proizvoda vrata]]),"")</f>
        <v/>
      </c>
      <c r="C67" s="25" t="str">
        <f>IFERROR(VLOOKUP(Stanje[[#This Row],[Šifra Vrata]],Vrata[],2,FALSE),"")</f>
        <v/>
      </c>
      <c r="D67" s="25" t="str">
        <f>IFERROR(VLOOKUP(Stanje[[#This Row],[Šifra Vrata]],Vrata[],3,FALSE),"")</f>
        <v/>
      </c>
      <c r="E67" s="25">
        <f>SUMIFS(Upis_stavki!M:M,Upis_stavki!B:B,Stanje[[#This Row],[Šifra Vrata]],Upis_stavki!J:J,"Ulaz")</f>
        <v>0</v>
      </c>
      <c r="F67" s="50">
        <f>SUMIFS(Upis_stavki!M:M,Upis_stavki!B:B,Stanje[[#This Row],[Šifra Vrata]],Upis_stavki!J:J,"Montirano")</f>
        <v>0</v>
      </c>
      <c r="G67" s="50">
        <f>SUMIFS(Upis_stavki!M:M,Upis_stavki!B:B,Stanje[[#This Row],[Šifra Vrata]],Upis_stavki!J:J,"Prodano")</f>
        <v>0</v>
      </c>
      <c r="H67" s="25" t="str">
        <f>IFERROR(VLOOKUP(Stanje[[#This Row],[Šifra Vrata]],Vrata[],4,FALSE),"")</f>
        <v/>
      </c>
      <c r="I67" s="25" t="str">
        <f>IFERROR(Stanje[[#This Row],[Početan broj vrata]]-Stanje[[#This Row],[Broj montiranih Vrata]]+Stanje[[#This Row],[Broj ulaza Vrata]],"")</f>
        <v/>
      </c>
      <c r="J67" s="25" t="str">
        <f>IFERROR(Stanje[[#This Row],[Početan broj vrata]]-Stanje[[#This Row],[Broj prodanih Vrata]]-Stanje[[#This Row],[Broj montiranih Vrata]]+Stanje[[#This Row],[Broj ulaza Vrata]],"")</f>
        <v/>
      </c>
      <c r="K67" s="45"/>
      <c r="L67" s="50" t="str">
        <f>IFERROR(IF(ISBLANK(Ulaz_izlaz[[#This Row],[Šifra vodilice]]),"",Ulaz_izlaz[[#This Row],[Šifra vodilice]]),"")</f>
        <v/>
      </c>
      <c r="M67" s="50">
        <f>SUMIFS(Upis_stavki!L:L,Upis_stavki!F:F,Stanje[[#This Row],[Šifra vodilica]],Upis_stavki!J:J,"Ulaz")</f>
        <v>0</v>
      </c>
      <c r="N67" s="50">
        <f>SUMIFS(Upis_stavki!L:L,Upis_stavki!F:F,Stanje[[#This Row],[Šifra vodilica]],Upis_stavki!J:J,"Montirano")</f>
        <v>0</v>
      </c>
      <c r="O67" s="25">
        <f>SUMIFS(Upis_stavki!L:L,Upis_stavki!F:F,Stanje[[#This Row],[Šifra vodilica]],Upis_stavki!J:J,"Prodano")</f>
        <v>0</v>
      </c>
      <c r="P67" s="25" t="str">
        <f>IFERROR(VLOOKUP(Stanje[[#This Row],[Šifra vodilica]],baza_vodilica[],3,FALSE),"")</f>
        <v/>
      </c>
      <c r="Q67" s="25" t="str">
        <f>IFERROR(Stanje[[#This Row],[Početan broj vodilica]]-Stanje[[#This Row],[Broj montiranih vodilica]]+Stanje[[#This Row],[Broj ulaza vodilica]],"")</f>
        <v/>
      </c>
      <c r="R67" s="25" t="str">
        <f>IFERROR(Stanje[[#This Row],[Početan broj vodilica]]-Stanje[[#This Row],[Broj prodanih vodilica]]-Stanje[[#This Row],[Broj montiranih vodilica]]+Stanje[[#This Row],[Broj ulaza vodilica]],"")</f>
        <v/>
      </c>
      <c r="S67" s="45"/>
      <c r="T67" s="25" t="str">
        <f>IFERROR(IF(ISBLANK(Ulaz_izlaz[[#This Row],[Šifra motora]]),"",Ulaz_izlaz[[#This Row],[Šifra motora]]),"")</f>
        <v/>
      </c>
      <c r="U67" s="50">
        <f>SUMIFS(Upis_stavki!K:K,Upis_stavki!H:H,Stanje[[#This Row],[Šifra motora]],Upis_stavki!J:J,"Ulaz")</f>
        <v>0</v>
      </c>
      <c r="V67" s="25">
        <f>SUMIFS(Upis_stavki!K:K,Upis_stavki!H:H,Stanje[[#This Row],[Šifra motora]],Upis_stavki!J:J,"Montirano")</f>
        <v>0</v>
      </c>
      <c r="W67" s="25">
        <f>SUMIFS(Upis_stavki!K:K,Upis_stavki!H:H,Stanje[[#This Row],[Šifra motora]],Upis_stavki!J:J,"Prodano")</f>
        <v>0</v>
      </c>
      <c r="X67" s="50" t="str">
        <f>IFERROR(VLOOKUP(Stanje[[#This Row],[Šifra motora]],baza_motora[],3,FALSE),"")</f>
        <v/>
      </c>
      <c r="Y67" s="50" t="str">
        <f>IFERROR(Stanje[[#This Row],[Početan broj motora]]-Stanje[[#This Row],[Broj montiranih motora]]+Stanje[[#This Row],[Broj ulaza motora]],"")</f>
        <v/>
      </c>
      <c r="Z67" s="25" t="str">
        <f>IFERROR(Stanje[[#This Row],[Početan broj motora]]-Stanje[[#This Row],[Broj prodanih motora]]-Stanje[[#This Row],[Broj montiranih motora]]+Stanje[[#This Row],[Broj ulaza motora]],"")</f>
        <v/>
      </c>
    </row>
    <row r="68" spans="1:26" x14ac:dyDescent="0.35">
      <c r="A68" s="51">
        <v>44670</v>
      </c>
      <c r="B68" s="25" t="str">
        <f>IFERROR(IF(ISBLANK(Ulaz_izlaz[[#This Row],[Šifra proizvoda vrata]]),"",Ulaz_izlaz[[#This Row],[Šifra proizvoda vrata]]),"")</f>
        <v/>
      </c>
      <c r="C68" s="25" t="str">
        <f>IFERROR(VLOOKUP(Stanje[[#This Row],[Šifra Vrata]],Vrata[],2,FALSE),"")</f>
        <v/>
      </c>
      <c r="D68" s="25" t="str">
        <f>IFERROR(VLOOKUP(Stanje[[#This Row],[Šifra Vrata]],Vrata[],3,FALSE),"")</f>
        <v/>
      </c>
      <c r="E68" s="25">
        <f>SUMIFS(Upis_stavki!M:M,Upis_stavki!B:B,Stanje[[#This Row],[Šifra Vrata]],Upis_stavki!J:J,"Ulaz")</f>
        <v>0</v>
      </c>
      <c r="F68" s="50">
        <f>SUMIFS(Upis_stavki!M:M,Upis_stavki!B:B,Stanje[[#This Row],[Šifra Vrata]],Upis_stavki!J:J,"Montirano")</f>
        <v>0</v>
      </c>
      <c r="G68" s="50">
        <f>SUMIFS(Upis_stavki!M:M,Upis_stavki!B:B,Stanje[[#This Row],[Šifra Vrata]],Upis_stavki!J:J,"Prodano")</f>
        <v>0</v>
      </c>
      <c r="H68" s="25" t="str">
        <f>IFERROR(VLOOKUP(Stanje[[#This Row],[Šifra Vrata]],Vrata[],4,FALSE),"")</f>
        <v/>
      </c>
      <c r="I68" s="25" t="str">
        <f>IFERROR(Stanje[[#This Row],[Početan broj vrata]]-Stanje[[#This Row],[Broj montiranih Vrata]]+Stanje[[#This Row],[Broj ulaza Vrata]],"")</f>
        <v/>
      </c>
      <c r="J68" s="25" t="str">
        <f>IFERROR(Stanje[[#This Row],[Početan broj vrata]]-Stanje[[#This Row],[Broj prodanih Vrata]]-Stanje[[#This Row],[Broj montiranih Vrata]]+Stanje[[#This Row],[Broj ulaza Vrata]],"")</f>
        <v/>
      </c>
      <c r="K68" s="45"/>
      <c r="L68" s="50" t="str">
        <f>IFERROR(IF(ISBLANK(Ulaz_izlaz[[#This Row],[Šifra vodilice]]),"",Ulaz_izlaz[[#This Row],[Šifra vodilice]]),"")</f>
        <v/>
      </c>
      <c r="M68" s="50">
        <f>SUMIFS(Upis_stavki!L:L,Upis_stavki!F:F,Stanje[[#This Row],[Šifra vodilica]],Upis_stavki!J:J,"Ulaz")</f>
        <v>0</v>
      </c>
      <c r="N68" s="50">
        <f>SUMIFS(Upis_stavki!L:L,Upis_stavki!F:F,Stanje[[#This Row],[Šifra vodilica]],Upis_stavki!J:J,"Montirano")</f>
        <v>0</v>
      </c>
      <c r="O68" s="25">
        <f>SUMIFS(Upis_stavki!L:L,Upis_stavki!F:F,Stanje[[#This Row],[Šifra vodilica]],Upis_stavki!J:J,"Prodano")</f>
        <v>0</v>
      </c>
      <c r="P68" s="25" t="str">
        <f>IFERROR(VLOOKUP(Stanje[[#This Row],[Šifra vodilica]],baza_vodilica[],3,FALSE),"")</f>
        <v/>
      </c>
      <c r="Q68" s="25" t="str">
        <f>IFERROR(Stanje[[#This Row],[Početan broj vodilica]]-Stanje[[#This Row],[Broj montiranih vodilica]]+Stanje[[#This Row],[Broj ulaza vodilica]],"")</f>
        <v/>
      </c>
      <c r="R68" s="25" t="str">
        <f>IFERROR(Stanje[[#This Row],[Početan broj vodilica]]-Stanje[[#This Row],[Broj prodanih vodilica]]-Stanje[[#This Row],[Broj montiranih vodilica]]+Stanje[[#This Row],[Broj ulaza vodilica]],"")</f>
        <v/>
      </c>
      <c r="S68" s="45"/>
      <c r="T68" s="25" t="str">
        <f>IFERROR(IF(ISBLANK(Ulaz_izlaz[[#This Row],[Šifra motora]]),"",Ulaz_izlaz[[#This Row],[Šifra motora]]),"")</f>
        <v/>
      </c>
      <c r="U68" s="50">
        <f>SUMIFS(Upis_stavki!K:K,Upis_stavki!H:H,Stanje[[#This Row],[Šifra motora]],Upis_stavki!J:J,"Ulaz")</f>
        <v>0</v>
      </c>
      <c r="V68" s="25">
        <f>SUMIFS(Upis_stavki!K:K,Upis_stavki!H:H,Stanje[[#This Row],[Šifra motora]],Upis_stavki!J:J,"Montirano")</f>
        <v>0</v>
      </c>
      <c r="W68" s="25">
        <f>SUMIFS(Upis_stavki!K:K,Upis_stavki!H:H,Stanje[[#This Row],[Šifra motora]],Upis_stavki!J:J,"Prodano")</f>
        <v>0</v>
      </c>
      <c r="X68" s="50" t="str">
        <f>IFERROR(VLOOKUP(Stanje[[#This Row],[Šifra motora]],baza_motora[],3,FALSE),"")</f>
        <v/>
      </c>
      <c r="Y68" s="50" t="str">
        <f>IFERROR(Stanje[[#This Row],[Početan broj motora]]-Stanje[[#This Row],[Broj montiranih motora]]+Stanje[[#This Row],[Broj ulaza motora]],"")</f>
        <v/>
      </c>
      <c r="Z68" s="25" t="str">
        <f>IFERROR(Stanje[[#This Row],[Početan broj motora]]-Stanje[[#This Row],[Broj prodanih motora]]-Stanje[[#This Row],[Broj montiranih motora]]+Stanje[[#This Row],[Broj ulaza motora]],"")</f>
        <v/>
      </c>
    </row>
    <row r="69" spans="1:26" x14ac:dyDescent="0.35">
      <c r="A69" s="51">
        <v>44671</v>
      </c>
      <c r="B69" s="25" t="str">
        <f>IFERROR(IF(ISBLANK(Ulaz_izlaz[[#This Row],[Šifra proizvoda vrata]]),"",Ulaz_izlaz[[#This Row],[Šifra proizvoda vrata]]),"")</f>
        <v/>
      </c>
      <c r="C69" s="25" t="str">
        <f>IFERROR(VLOOKUP(Stanje[[#This Row],[Šifra Vrata]],Vrata[],2,FALSE),"")</f>
        <v/>
      </c>
      <c r="D69" s="25" t="str">
        <f>IFERROR(VLOOKUP(Stanje[[#This Row],[Šifra Vrata]],Vrata[],3,FALSE),"")</f>
        <v/>
      </c>
      <c r="E69" s="25">
        <f>SUMIFS(Upis_stavki!M:M,Upis_stavki!B:B,Stanje[[#This Row],[Šifra Vrata]],Upis_stavki!J:J,"Ulaz")</f>
        <v>0</v>
      </c>
      <c r="F69" s="50">
        <f>SUMIFS(Upis_stavki!M:M,Upis_stavki!B:B,Stanje[[#This Row],[Šifra Vrata]],Upis_stavki!J:J,"Montirano")</f>
        <v>0</v>
      </c>
      <c r="G69" s="50">
        <f>SUMIFS(Upis_stavki!M:M,Upis_stavki!B:B,Stanje[[#This Row],[Šifra Vrata]],Upis_stavki!J:J,"Prodano")</f>
        <v>0</v>
      </c>
      <c r="H69" s="25" t="str">
        <f>IFERROR(VLOOKUP(Stanje[[#This Row],[Šifra Vrata]],Vrata[],4,FALSE),"")</f>
        <v/>
      </c>
      <c r="I69" s="25" t="str">
        <f>IFERROR(Stanje[[#This Row],[Početan broj vrata]]-Stanje[[#This Row],[Broj montiranih Vrata]]+Stanje[[#This Row],[Broj ulaza Vrata]],"")</f>
        <v/>
      </c>
      <c r="J69" s="25" t="str">
        <f>IFERROR(Stanje[[#This Row],[Početan broj vrata]]-Stanje[[#This Row],[Broj prodanih Vrata]]-Stanje[[#This Row],[Broj montiranih Vrata]]+Stanje[[#This Row],[Broj ulaza Vrata]],"")</f>
        <v/>
      </c>
      <c r="K69" s="45"/>
      <c r="L69" s="50" t="str">
        <f>IFERROR(IF(ISBLANK(Ulaz_izlaz[[#This Row],[Šifra vodilice]]),"",Ulaz_izlaz[[#This Row],[Šifra vodilice]]),"")</f>
        <v/>
      </c>
      <c r="M69" s="50">
        <f>SUMIFS(Upis_stavki!L:L,Upis_stavki!F:F,Stanje[[#This Row],[Šifra vodilica]],Upis_stavki!J:J,"Ulaz")</f>
        <v>0</v>
      </c>
      <c r="N69" s="50">
        <f>SUMIFS(Upis_stavki!L:L,Upis_stavki!F:F,Stanje[[#This Row],[Šifra vodilica]],Upis_stavki!J:J,"Montirano")</f>
        <v>0</v>
      </c>
      <c r="O69" s="25">
        <f>SUMIFS(Upis_stavki!L:L,Upis_stavki!F:F,Stanje[[#This Row],[Šifra vodilica]],Upis_stavki!J:J,"Prodano")</f>
        <v>0</v>
      </c>
      <c r="P69" s="25" t="str">
        <f>IFERROR(VLOOKUP(Stanje[[#This Row],[Šifra vodilica]],baza_vodilica[],3,FALSE),"")</f>
        <v/>
      </c>
      <c r="Q69" s="25" t="str">
        <f>IFERROR(Stanje[[#This Row],[Početan broj vodilica]]-Stanje[[#This Row],[Broj montiranih vodilica]]+Stanje[[#This Row],[Broj ulaza vodilica]],"")</f>
        <v/>
      </c>
      <c r="R69" s="25" t="str">
        <f>IFERROR(Stanje[[#This Row],[Početan broj vodilica]]-Stanje[[#This Row],[Broj prodanih vodilica]]-Stanje[[#This Row],[Broj montiranih vodilica]]+Stanje[[#This Row],[Broj ulaza vodilica]],"")</f>
        <v/>
      </c>
      <c r="S69" s="45"/>
      <c r="T69" s="25" t="str">
        <f>IFERROR(IF(ISBLANK(Ulaz_izlaz[[#This Row],[Šifra motora]]),"",Ulaz_izlaz[[#This Row],[Šifra motora]]),"")</f>
        <v/>
      </c>
      <c r="U69" s="50">
        <f>SUMIFS(Upis_stavki!K:K,Upis_stavki!H:H,Stanje[[#This Row],[Šifra motora]],Upis_stavki!J:J,"Ulaz")</f>
        <v>0</v>
      </c>
      <c r="V69" s="25">
        <f>SUMIFS(Upis_stavki!K:K,Upis_stavki!H:H,Stanje[[#This Row],[Šifra motora]],Upis_stavki!J:J,"Montirano")</f>
        <v>0</v>
      </c>
      <c r="W69" s="25">
        <f>SUMIFS(Upis_stavki!K:K,Upis_stavki!H:H,Stanje[[#This Row],[Šifra motora]],Upis_stavki!J:J,"Prodano")</f>
        <v>0</v>
      </c>
      <c r="X69" s="50" t="str">
        <f>IFERROR(VLOOKUP(Stanje[[#This Row],[Šifra motora]],baza_motora[],3,FALSE),"")</f>
        <v/>
      </c>
      <c r="Y69" s="50" t="str">
        <f>IFERROR(Stanje[[#This Row],[Početan broj motora]]-Stanje[[#This Row],[Broj montiranih motora]]+Stanje[[#This Row],[Broj ulaza motora]],"")</f>
        <v/>
      </c>
      <c r="Z69" s="25" t="str">
        <f>IFERROR(Stanje[[#This Row],[Početan broj motora]]-Stanje[[#This Row],[Broj prodanih motora]]-Stanje[[#This Row],[Broj montiranih motora]]+Stanje[[#This Row],[Broj ulaza motora]],"")</f>
        <v/>
      </c>
    </row>
    <row r="70" spans="1:26" x14ac:dyDescent="0.35">
      <c r="A70" s="51">
        <v>44672</v>
      </c>
      <c r="B70" s="25" t="str">
        <f>IFERROR(IF(ISBLANK(Ulaz_izlaz[[#This Row],[Šifra proizvoda vrata]]),"",Ulaz_izlaz[[#This Row],[Šifra proizvoda vrata]]),"")</f>
        <v/>
      </c>
      <c r="C70" s="25" t="str">
        <f>IFERROR(VLOOKUP(Stanje[[#This Row],[Šifra Vrata]],Vrata[],2,FALSE),"")</f>
        <v/>
      </c>
      <c r="D70" s="25" t="str">
        <f>IFERROR(VLOOKUP(Stanje[[#This Row],[Šifra Vrata]],Vrata[],3,FALSE),"")</f>
        <v/>
      </c>
      <c r="E70" s="25">
        <f>SUMIFS(Upis_stavki!M:M,Upis_stavki!B:B,Stanje[[#This Row],[Šifra Vrata]],Upis_stavki!J:J,"Ulaz")</f>
        <v>0</v>
      </c>
      <c r="F70" s="50">
        <f>SUMIFS(Upis_stavki!M:M,Upis_stavki!B:B,Stanje[[#This Row],[Šifra Vrata]],Upis_stavki!J:J,"Montirano")</f>
        <v>0</v>
      </c>
      <c r="G70" s="50">
        <f>SUMIFS(Upis_stavki!M:M,Upis_stavki!B:B,Stanje[[#This Row],[Šifra Vrata]],Upis_stavki!J:J,"Prodano")</f>
        <v>0</v>
      </c>
      <c r="H70" s="25" t="str">
        <f>IFERROR(VLOOKUP(Stanje[[#This Row],[Šifra Vrata]],Vrata[],4,FALSE),"")</f>
        <v/>
      </c>
      <c r="I70" s="25" t="str">
        <f>IFERROR(Stanje[[#This Row],[Početan broj vrata]]-Stanje[[#This Row],[Broj montiranih Vrata]]+Stanje[[#This Row],[Broj ulaza Vrata]],"")</f>
        <v/>
      </c>
      <c r="J70" s="25" t="str">
        <f>IFERROR(Stanje[[#This Row],[Početan broj vrata]]-Stanje[[#This Row],[Broj prodanih Vrata]]-Stanje[[#This Row],[Broj montiranih Vrata]]+Stanje[[#This Row],[Broj ulaza Vrata]],"")</f>
        <v/>
      </c>
      <c r="K70" s="45"/>
      <c r="L70" s="50" t="str">
        <f>IFERROR(IF(ISBLANK(Ulaz_izlaz[[#This Row],[Šifra vodilice]]),"",Ulaz_izlaz[[#This Row],[Šifra vodilice]]),"")</f>
        <v/>
      </c>
      <c r="M70" s="50">
        <f>SUMIFS(Upis_stavki!L:L,Upis_stavki!F:F,Stanje[[#This Row],[Šifra vodilica]],Upis_stavki!J:J,"Ulaz")</f>
        <v>0</v>
      </c>
      <c r="N70" s="50">
        <f>SUMIFS(Upis_stavki!L:L,Upis_stavki!F:F,Stanje[[#This Row],[Šifra vodilica]],Upis_stavki!J:J,"Montirano")</f>
        <v>0</v>
      </c>
      <c r="O70" s="25">
        <f>SUMIFS(Upis_stavki!L:L,Upis_stavki!F:F,Stanje[[#This Row],[Šifra vodilica]],Upis_stavki!J:J,"Prodano")</f>
        <v>0</v>
      </c>
      <c r="P70" s="25" t="str">
        <f>IFERROR(VLOOKUP(Stanje[[#This Row],[Šifra vodilica]],baza_vodilica[],3,FALSE),"")</f>
        <v/>
      </c>
      <c r="Q70" s="25" t="str">
        <f>IFERROR(Stanje[[#This Row],[Početan broj vodilica]]-Stanje[[#This Row],[Broj montiranih vodilica]]+Stanje[[#This Row],[Broj ulaza vodilica]],"")</f>
        <v/>
      </c>
      <c r="R70" s="25" t="str">
        <f>IFERROR(Stanje[[#This Row],[Početan broj vodilica]]-Stanje[[#This Row],[Broj prodanih vodilica]]-Stanje[[#This Row],[Broj montiranih vodilica]]+Stanje[[#This Row],[Broj ulaza vodilica]],"")</f>
        <v/>
      </c>
      <c r="S70" s="45"/>
      <c r="T70" s="25" t="str">
        <f>IFERROR(IF(ISBLANK(Ulaz_izlaz[[#This Row],[Šifra motora]]),"",Ulaz_izlaz[[#This Row],[Šifra motora]]),"")</f>
        <v/>
      </c>
      <c r="U70" s="50">
        <f>SUMIFS(Upis_stavki!K:K,Upis_stavki!H:H,Stanje[[#This Row],[Šifra motora]],Upis_stavki!J:J,"Ulaz")</f>
        <v>0</v>
      </c>
      <c r="V70" s="25">
        <f>SUMIFS(Upis_stavki!K:K,Upis_stavki!H:H,Stanje[[#This Row],[Šifra motora]],Upis_stavki!J:J,"Montirano")</f>
        <v>0</v>
      </c>
      <c r="W70" s="25">
        <f>SUMIFS(Upis_stavki!K:K,Upis_stavki!H:H,Stanje[[#This Row],[Šifra motora]],Upis_stavki!J:J,"Prodano")</f>
        <v>0</v>
      </c>
      <c r="X70" s="50" t="str">
        <f>IFERROR(VLOOKUP(Stanje[[#This Row],[Šifra motora]],baza_motora[],3,FALSE),"")</f>
        <v/>
      </c>
      <c r="Y70" s="50" t="str">
        <f>IFERROR(Stanje[[#This Row],[Početan broj motora]]-Stanje[[#This Row],[Broj montiranih motora]]+Stanje[[#This Row],[Broj ulaza motora]],"")</f>
        <v/>
      </c>
      <c r="Z70" s="25" t="str">
        <f>IFERROR(Stanje[[#This Row],[Početan broj motora]]-Stanje[[#This Row],[Broj prodanih motora]]-Stanje[[#This Row],[Broj montiranih motora]]+Stanje[[#This Row],[Broj ulaza motora]],"")</f>
        <v/>
      </c>
    </row>
    <row r="71" spans="1:26" x14ac:dyDescent="0.35">
      <c r="A71" s="51">
        <v>44673</v>
      </c>
      <c r="B71" s="25" t="str">
        <f>IFERROR(IF(ISBLANK(Ulaz_izlaz[[#This Row],[Šifra proizvoda vrata]]),"",Ulaz_izlaz[[#This Row],[Šifra proizvoda vrata]]),"")</f>
        <v/>
      </c>
      <c r="C71" s="25" t="str">
        <f>IFERROR(VLOOKUP(Stanje[[#This Row],[Šifra Vrata]],Vrata[],2,FALSE),"")</f>
        <v/>
      </c>
      <c r="D71" s="25" t="str">
        <f>IFERROR(VLOOKUP(Stanje[[#This Row],[Šifra Vrata]],Vrata[],3,FALSE),"")</f>
        <v/>
      </c>
      <c r="E71" s="25">
        <f>SUMIFS(Upis_stavki!M:M,Upis_stavki!B:B,Stanje[[#This Row],[Šifra Vrata]],Upis_stavki!J:J,"Ulaz")</f>
        <v>0</v>
      </c>
      <c r="F71" s="50">
        <f>SUMIFS(Upis_stavki!M:M,Upis_stavki!B:B,Stanje[[#This Row],[Šifra Vrata]],Upis_stavki!J:J,"Montirano")</f>
        <v>0</v>
      </c>
      <c r="G71" s="50">
        <f>SUMIFS(Upis_stavki!M:M,Upis_stavki!B:B,Stanje[[#This Row],[Šifra Vrata]],Upis_stavki!J:J,"Prodano")</f>
        <v>0</v>
      </c>
      <c r="H71" s="25" t="str">
        <f>IFERROR(VLOOKUP(Stanje[[#This Row],[Šifra Vrata]],Vrata[],4,FALSE),"")</f>
        <v/>
      </c>
      <c r="I71" s="25" t="str">
        <f>IFERROR(Stanje[[#This Row],[Početan broj vrata]]-Stanje[[#This Row],[Broj montiranih Vrata]]+Stanje[[#This Row],[Broj ulaza Vrata]],"")</f>
        <v/>
      </c>
      <c r="J71" s="25" t="str">
        <f>IFERROR(Stanje[[#This Row],[Početan broj vrata]]-Stanje[[#This Row],[Broj prodanih Vrata]]-Stanje[[#This Row],[Broj montiranih Vrata]]+Stanje[[#This Row],[Broj ulaza Vrata]],"")</f>
        <v/>
      </c>
      <c r="K71" s="45"/>
      <c r="L71" s="50" t="str">
        <f>IFERROR(IF(ISBLANK(Ulaz_izlaz[[#This Row],[Šifra vodilice]]),"",Ulaz_izlaz[[#This Row],[Šifra vodilice]]),"")</f>
        <v/>
      </c>
      <c r="M71" s="50">
        <f>SUMIFS(Upis_stavki!L:L,Upis_stavki!F:F,Stanje[[#This Row],[Šifra vodilica]],Upis_stavki!J:J,"Ulaz")</f>
        <v>0</v>
      </c>
      <c r="N71" s="50">
        <f>SUMIFS(Upis_stavki!L:L,Upis_stavki!F:F,Stanje[[#This Row],[Šifra vodilica]],Upis_stavki!J:J,"Montirano")</f>
        <v>0</v>
      </c>
      <c r="O71" s="25">
        <f>SUMIFS(Upis_stavki!L:L,Upis_stavki!F:F,Stanje[[#This Row],[Šifra vodilica]],Upis_stavki!J:J,"Prodano")</f>
        <v>0</v>
      </c>
      <c r="P71" s="25" t="str">
        <f>IFERROR(VLOOKUP(Stanje[[#This Row],[Šifra vodilica]],baza_vodilica[],3,FALSE),"")</f>
        <v/>
      </c>
      <c r="Q71" s="25" t="str">
        <f>IFERROR(Stanje[[#This Row],[Početan broj vodilica]]-Stanje[[#This Row],[Broj montiranih vodilica]]+Stanje[[#This Row],[Broj ulaza vodilica]],"")</f>
        <v/>
      </c>
      <c r="R71" s="25" t="str">
        <f>IFERROR(Stanje[[#This Row],[Početan broj vodilica]]-Stanje[[#This Row],[Broj prodanih vodilica]]-Stanje[[#This Row],[Broj montiranih vodilica]]+Stanje[[#This Row],[Broj ulaza vodilica]],"")</f>
        <v/>
      </c>
      <c r="S71" s="45"/>
      <c r="T71" s="25" t="str">
        <f>IFERROR(IF(ISBLANK(Ulaz_izlaz[[#This Row],[Šifra motora]]),"",Ulaz_izlaz[[#This Row],[Šifra motora]]),"")</f>
        <v/>
      </c>
      <c r="U71" s="50">
        <f>SUMIFS(Upis_stavki!K:K,Upis_stavki!H:H,Stanje[[#This Row],[Šifra motora]],Upis_stavki!J:J,"Ulaz")</f>
        <v>0</v>
      </c>
      <c r="V71" s="25">
        <f>SUMIFS(Upis_stavki!K:K,Upis_stavki!H:H,Stanje[[#This Row],[Šifra motora]],Upis_stavki!J:J,"Montirano")</f>
        <v>0</v>
      </c>
      <c r="W71" s="25">
        <f>SUMIFS(Upis_stavki!K:K,Upis_stavki!H:H,Stanje[[#This Row],[Šifra motora]],Upis_stavki!J:J,"Prodano")</f>
        <v>0</v>
      </c>
      <c r="X71" s="50" t="str">
        <f>IFERROR(VLOOKUP(Stanje[[#This Row],[Šifra motora]],baza_motora[],3,FALSE),"")</f>
        <v/>
      </c>
      <c r="Y71" s="50" t="str">
        <f>IFERROR(Stanje[[#This Row],[Početan broj motora]]-Stanje[[#This Row],[Broj montiranih motora]]+Stanje[[#This Row],[Broj ulaza motora]],"")</f>
        <v/>
      </c>
      <c r="Z71" s="25" t="str">
        <f>IFERROR(Stanje[[#This Row],[Početan broj motora]]-Stanje[[#This Row],[Broj prodanih motora]]-Stanje[[#This Row],[Broj montiranih motora]]+Stanje[[#This Row],[Broj ulaza motora]],"")</f>
        <v/>
      </c>
    </row>
    <row r="72" spans="1:26" x14ac:dyDescent="0.35">
      <c r="A72" s="51">
        <v>44674</v>
      </c>
      <c r="B72" s="25" t="str">
        <f>IFERROR(IF(ISBLANK(Ulaz_izlaz[[#This Row],[Šifra proizvoda vrata]]),"",Ulaz_izlaz[[#This Row],[Šifra proizvoda vrata]]),"")</f>
        <v/>
      </c>
      <c r="C72" s="25" t="str">
        <f>IFERROR(VLOOKUP(Stanje[[#This Row],[Šifra Vrata]],Vrata[],2,FALSE),"")</f>
        <v/>
      </c>
      <c r="D72" s="25" t="str">
        <f>IFERROR(VLOOKUP(Stanje[[#This Row],[Šifra Vrata]],Vrata[],3,FALSE),"")</f>
        <v/>
      </c>
      <c r="E72" s="25">
        <f>SUMIFS(Upis_stavki!M:M,Upis_stavki!B:B,Stanje[[#This Row],[Šifra Vrata]],Upis_stavki!J:J,"Ulaz")</f>
        <v>0</v>
      </c>
      <c r="F72" s="50">
        <f>SUMIFS(Upis_stavki!M:M,Upis_stavki!B:B,Stanje[[#This Row],[Šifra Vrata]],Upis_stavki!J:J,"Montirano")</f>
        <v>0</v>
      </c>
      <c r="G72" s="50">
        <f>SUMIFS(Upis_stavki!M:M,Upis_stavki!B:B,Stanje[[#This Row],[Šifra Vrata]],Upis_stavki!J:J,"Prodano")</f>
        <v>0</v>
      </c>
      <c r="H72" s="25" t="str">
        <f>IFERROR(VLOOKUP(Stanje[[#This Row],[Šifra Vrata]],Vrata[],4,FALSE),"")</f>
        <v/>
      </c>
      <c r="I72" s="25" t="str">
        <f>IFERROR(Stanje[[#This Row],[Početan broj vrata]]-Stanje[[#This Row],[Broj montiranih Vrata]]+Stanje[[#This Row],[Broj ulaza Vrata]],"")</f>
        <v/>
      </c>
      <c r="J72" s="25" t="str">
        <f>IFERROR(Stanje[[#This Row],[Početan broj vrata]]-Stanje[[#This Row],[Broj prodanih Vrata]]-Stanje[[#This Row],[Broj montiranih Vrata]]+Stanje[[#This Row],[Broj ulaza Vrata]],"")</f>
        <v/>
      </c>
      <c r="K72" s="45"/>
      <c r="L72" s="50" t="str">
        <f>IFERROR(IF(ISBLANK(Ulaz_izlaz[[#This Row],[Šifra vodilice]]),"",Ulaz_izlaz[[#This Row],[Šifra vodilice]]),"")</f>
        <v/>
      </c>
      <c r="M72" s="50">
        <f>SUMIFS(Upis_stavki!L:L,Upis_stavki!F:F,Stanje[[#This Row],[Šifra vodilica]],Upis_stavki!J:J,"Ulaz")</f>
        <v>0</v>
      </c>
      <c r="N72" s="50">
        <f>SUMIFS(Upis_stavki!L:L,Upis_stavki!F:F,Stanje[[#This Row],[Šifra vodilica]],Upis_stavki!J:J,"Montirano")</f>
        <v>0</v>
      </c>
      <c r="O72" s="25">
        <f>SUMIFS(Upis_stavki!L:L,Upis_stavki!F:F,Stanje[[#This Row],[Šifra vodilica]],Upis_stavki!J:J,"Prodano")</f>
        <v>0</v>
      </c>
      <c r="P72" s="25" t="str">
        <f>IFERROR(VLOOKUP(Stanje[[#This Row],[Šifra vodilica]],baza_vodilica[],3,FALSE),"")</f>
        <v/>
      </c>
      <c r="Q72" s="25" t="str">
        <f>IFERROR(Stanje[[#This Row],[Početan broj vodilica]]-Stanje[[#This Row],[Broj montiranih vodilica]]+Stanje[[#This Row],[Broj ulaza vodilica]],"")</f>
        <v/>
      </c>
      <c r="R72" s="25" t="str">
        <f>IFERROR(Stanje[[#This Row],[Početan broj vodilica]]-Stanje[[#This Row],[Broj prodanih vodilica]]-Stanje[[#This Row],[Broj montiranih vodilica]]+Stanje[[#This Row],[Broj ulaza vodilica]],"")</f>
        <v/>
      </c>
      <c r="S72" s="45"/>
      <c r="T72" s="25" t="str">
        <f>IFERROR(IF(ISBLANK(Ulaz_izlaz[[#This Row],[Šifra motora]]),"",Ulaz_izlaz[[#This Row],[Šifra motora]]),"")</f>
        <v/>
      </c>
      <c r="U72" s="50">
        <f>SUMIFS(Upis_stavki!K:K,Upis_stavki!H:H,Stanje[[#This Row],[Šifra motora]],Upis_stavki!J:J,"Ulaz")</f>
        <v>0</v>
      </c>
      <c r="V72" s="25">
        <f>SUMIFS(Upis_stavki!K:K,Upis_stavki!H:H,Stanje[[#This Row],[Šifra motora]],Upis_stavki!J:J,"Montirano")</f>
        <v>0</v>
      </c>
      <c r="W72" s="25">
        <f>SUMIFS(Upis_stavki!K:K,Upis_stavki!H:H,Stanje[[#This Row],[Šifra motora]],Upis_stavki!J:J,"Prodano")</f>
        <v>0</v>
      </c>
      <c r="X72" s="50" t="str">
        <f>IFERROR(VLOOKUP(Stanje[[#This Row],[Šifra motora]],baza_motora[],3,FALSE),"")</f>
        <v/>
      </c>
      <c r="Y72" s="50" t="str">
        <f>IFERROR(Stanje[[#This Row],[Početan broj motora]]-Stanje[[#This Row],[Broj montiranih motora]]+Stanje[[#This Row],[Broj ulaza motora]],"")</f>
        <v/>
      </c>
      <c r="Z72" s="25" t="str">
        <f>IFERROR(Stanje[[#This Row],[Početan broj motora]]-Stanje[[#This Row],[Broj prodanih motora]]-Stanje[[#This Row],[Broj montiranih motora]]+Stanje[[#This Row],[Broj ulaza motora]],"")</f>
        <v/>
      </c>
    </row>
    <row r="73" spans="1:26" x14ac:dyDescent="0.35">
      <c r="A73" s="51">
        <v>44675</v>
      </c>
      <c r="B73" s="25" t="str">
        <f>IFERROR(IF(ISBLANK(Ulaz_izlaz[[#This Row],[Šifra proizvoda vrata]]),"",Ulaz_izlaz[[#This Row],[Šifra proizvoda vrata]]),"")</f>
        <v/>
      </c>
      <c r="C73" s="25" t="str">
        <f>IFERROR(VLOOKUP(Stanje[[#This Row],[Šifra Vrata]],Vrata[],2,FALSE),"")</f>
        <v/>
      </c>
      <c r="D73" s="25" t="str">
        <f>IFERROR(VLOOKUP(Stanje[[#This Row],[Šifra Vrata]],Vrata[],3,FALSE),"")</f>
        <v/>
      </c>
      <c r="E73" s="25">
        <f>SUMIFS(Upis_stavki!M:M,Upis_stavki!B:B,Stanje[[#This Row],[Šifra Vrata]],Upis_stavki!J:J,"Ulaz")</f>
        <v>0</v>
      </c>
      <c r="F73" s="50">
        <f>SUMIFS(Upis_stavki!M:M,Upis_stavki!B:B,Stanje[[#This Row],[Šifra Vrata]],Upis_stavki!J:J,"Montirano")</f>
        <v>0</v>
      </c>
      <c r="G73" s="50">
        <f>SUMIFS(Upis_stavki!M:M,Upis_stavki!B:B,Stanje[[#This Row],[Šifra Vrata]],Upis_stavki!J:J,"Prodano")</f>
        <v>0</v>
      </c>
      <c r="H73" s="25" t="str">
        <f>IFERROR(VLOOKUP(Stanje[[#This Row],[Šifra Vrata]],Vrata[],4,FALSE),"")</f>
        <v/>
      </c>
      <c r="I73" s="25" t="str">
        <f>IFERROR(Stanje[[#This Row],[Početan broj vrata]]-Stanje[[#This Row],[Broj montiranih Vrata]]+Stanje[[#This Row],[Broj ulaza Vrata]],"")</f>
        <v/>
      </c>
      <c r="J73" s="25" t="str">
        <f>IFERROR(Stanje[[#This Row],[Početan broj vrata]]-Stanje[[#This Row],[Broj prodanih Vrata]]-Stanje[[#This Row],[Broj montiranih Vrata]]+Stanje[[#This Row],[Broj ulaza Vrata]],"")</f>
        <v/>
      </c>
      <c r="K73" s="45"/>
      <c r="L73" s="50" t="str">
        <f>IFERROR(IF(ISBLANK(Ulaz_izlaz[[#This Row],[Šifra vodilice]]),"",Ulaz_izlaz[[#This Row],[Šifra vodilice]]),"")</f>
        <v/>
      </c>
      <c r="M73" s="50">
        <f>SUMIFS(Upis_stavki!L:L,Upis_stavki!F:F,Stanje[[#This Row],[Šifra vodilica]],Upis_stavki!J:J,"Ulaz")</f>
        <v>0</v>
      </c>
      <c r="N73" s="50">
        <f>SUMIFS(Upis_stavki!L:L,Upis_stavki!F:F,Stanje[[#This Row],[Šifra vodilica]],Upis_stavki!J:J,"Montirano")</f>
        <v>0</v>
      </c>
      <c r="O73" s="25">
        <f>SUMIFS(Upis_stavki!L:L,Upis_stavki!F:F,Stanje[[#This Row],[Šifra vodilica]],Upis_stavki!J:J,"Prodano")</f>
        <v>0</v>
      </c>
      <c r="P73" s="25" t="str">
        <f>IFERROR(VLOOKUP(Stanje[[#This Row],[Šifra vodilica]],baza_vodilica[],3,FALSE),"")</f>
        <v/>
      </c>
      <c r="Q73" s="25" t="str">
        <f>IFERROR(Stanje[[#This Row],[Početan broj vodilica]]-Stanje[[#This Row],[Broj montiranih vodilica]]+Stanje[[#This Row],[Broj ulaza vodilica]],"")</f>
        <v/>
      </c>
      <c r="R73" s="25" t="str">
        <f>IFERROR(Stanje[[#This Row],[Početan broj vodilica]]-Stanje[[#This Row],[Broj prodanih vodilica]]-Stanje[[#This Row],[Broj montiranih vodilica]]+Stanje[[#This Row],[Broj ulaza vodilica]],"")</f>
        <v/>
      </c>
      <c r="S73" s="45"/>
      <c r="T73" s="25" t="str">
        <f>IFERROR(IF(ISBLANK(Ulaz_izlaz[[#This Row],[Šifra motora]]),"",Ulaz_izlaz[[#This Row],[Šifra motora]]),"")</f>
        <v/>
      </c>
      <c r="U73" s="50">
        <f>SUMIFS(Upis_stavki!K:K,Upis_stavki!H:H,Stanje[[#This Row],[Šifra motora]],Upis_stavki!J:J,"Ulaz")</f>
        <v>0</v>
      </c>
      <c r="V73" s="25">
        <f>SUMIFS(Upis_stavki!K:K,Upis_stavki!H:H,Stanje[[#This Row],[Šifra motora]],Upis_stavki!J:J,"Montirano")</f>
        <v>0</v>
      </c>
      <c r="W73" s="25">
        <f>SUMIFS(Upis_stavki!K:K,Upis_stavki!H:H,Stanje[[#This Row],[Šifra motora]],Upis_stavki!J:J,"Prodano")</f>
        <v>0</v>
      </c>
      <c r="X73" s="50" t="str">
        <f>IFERROR(VLOOKUP(Stanje[[#This Row],[Šifra motora]],baza_motora[],3,FALSE),"")</f>
        <v/>
      </c>
      <c r="Y73" s="50" t="str">
        <f>IFERROR(Stanje[[#This Row],[Početan broj motora]]-Stanje[[#This Row],[Broj montiranih motora]]+Stanje[[#This Row],[Broj ulaza motora]],"")</f>
        <v/>
      </c>
      <c r="Z73" s="25" t="str">
        <f>IFERROR(Stanje[[#This Row],[Početan broj motora]]-Stanje[[#This Row],[Broj prodanih motora]]-Stanje[[#This Row],[Broj montiranih motora]]+Stanje[[#This Row],[Broj ulaza motora]],"")</f>
        <v/>
      </c>
    </row>
    <row r="74" spans="1:26" x14ac:dyDescent="0.35">
      <c r="A74" s="51">
        <v>44676</v>
      </c>
      <c r="B74" s="25" t="str">
        <f>IFERROR(IF(ISBLANK(Ulaz_izlaz[[#This Row],[Šifra proizvoda vrata]]),"",Ulaz_izlaz[[#This Row],[Šifra proizvoda vrata]]),"")</f>
        <v/>
      </c>
      <c r="C74" s="25" t="str">
        <f>IFERROR(VLOOKUP(Stanje[[#This Row],[Šifra Vrata]],Vrata[],2,FALSE),"")</f>
        <v/>
      </c>
      <c r="D74" s="25" t="str">
        <f>IFERROR(VLOOKUP(Stanje[[#This Row],[Šifra Vrata]],Vrata[],3,FALSE),"")</f>
        <v/>
      </c>
      <c r="E74" s="25">
        <f>SUMIFS(Upis_stavki!M:M,Upis_stavki!B:B,Stanje[[#This Row],[Šifra Vrata]],Upis_stavki!J:J,"Ulaz")</f>
        <v>0</v>
      </c>
      <c r="F74" s="50">
        <f>SUMIFS(Upis_stavki!M:M,Upis_stavki!B:B,Stanje[[#This Row],[Šifra Vrata]],Upis_stavki!J:J,"Montirano")</f>
        <v>0</v>
      </c>
      <c r="G74" s="50">
        <f>SUMIFS(Upis_stavki!M:M,Upis_stavki!B:B,Stanje[[#This Row],[Šifra Vrata]],Upis_stavki!J:J,"Prodano")</f>
        <v>0</v>
      </c>
      <c r="H74" s="25" t="str">
        <f>IFERROR(VLOOKUP(Stanje[[#This Row],[Šifra Vrata]],Vrata[],4,FALSE),"")</f>
        <v/>
      </c>
      <c r="I74" s="25" t="str">
        <f>IFERROR(Stanje[[#This Row],[Početan broj vrata]]-Stanje[[#This Row],[Broj montiranih Vrata]]+Stanje[[#This Row],[Broj ulaza Vrata]],"")</f>
        <v/>
      </c>
      <c r="J74" s="25" t="str">
        <f>IFERROR(Stanje[[#This Row],[Početan broj vrata]]-Stanje[[#This Row],[Broj prodanih Vrata]]-Stanje[[#This Row],[Broj montiranih Vrata]]+Stanje[[#This Row],[Broj ulaza Vrata]],"")</f>
        <v/>
      </c>
      <c r="K74" s="45"/>
      <c r="L74" s="50" t="str">
        <f>IFERROR(IF(ISBLANK(Ulaz_izlaz[[#This Row],[Šifra vodilice]]),"",Ulaz_izlaz[[#This Row],[Šifra vodilice]]),"")</f>
        <v/>
      </c>
      <c r="M74" s="50">
        <f>SUMIFS(Upis_stavki!L:L,Upis_stavki!F:F,Stanje[[#This Row],[Šifra vodilica]],Upis_stavki!J:J,"Ulaz")</f>
        <v>0</v>
      </c>
      <c r="N74" s="50">
        <f>SUMIFS(Upis_stavki!L:L,Upis_stavki!F:F,Stanje[[#This Row],[Šifra vodilica]],Upis_stavki!J:J,"Montirano")</f>
        <v>0</v>
      </c>
      <c r="O74" s="25">
        <f>SUMIFS(Upis_stavki!L:L,Upis_stavki!F:F,Stanje[[#This Row],[Šifra vodilica]],Upis_stavki!J:J,"Prodano")</f>
        <v>0</v>
      </c>
      <c r="P74" s="25" t="str">
        <f>IFERROR(VLOOKUP(Stanje[[#This Row],[Šifra vodilica]],baza_vodilica[],3,FALSE),"")</f>
        <v/>
      </c>
      <c r="Q74" s="25" t="str">
        <f>IFERROR(Stanje[[#This Row],[Početan broj vodilica]]-Stanje[[#This Row],[Broj montiranih vodilica]]+Stanje[[#This Row],[Broj ulaza vodilica]],"")</f>
        <v/>
      </c>
      <c r="R74" s="25" t="str">
        <f>IFERROR(Stanje[[#This Row],[Početan broj vodilica]]-Stanje[[#This Row],[Broj prodanih vodilica]]-Stanje[[#This Row],[Broj montiranih vodilica]]+Stanje[[#This Row],[Broj ulaza vodilica]],"")</f>
        <v/>
      </c>
      <c r="S74" s="45"/>
      <c r="T74" s="25" t="str">
        <f>IFERROR(IF(ISBLANK(Ulaz_izlaz[[#This Row],[Šifra motora]]),"",Ulaz_izlaz[[#This Row],[Šifra motora]]),"")</f>
        <v/>
      </c>
      <c r="U74" s="50">
        <f>SUMIFS(Upis_stavki!K:K,Upis_stavki!H:H,Stanje[[#This Row],[Šifra motora]],Upis_stavki!J:J,"Ulaz")</f>
        <v>0</v>
      </c>
      <c r="V74" s="25">
        <f>SUMIFS(Upis_stavki!K:K,Upis_stavki!H:H,Stanje[[#This Row],[Šifra motora]],Upis_stavki!J:J,"Montirano")</f>
        <v>0</v>
      </c>
      <c r="W74" s="25">
        <f>SUMIFS(Upis_stavki!K:K,Upis_stavki!H:H,Stanje[[#This Row],[Šifra motora]],Upis_stavki!J:J,"Prodano")</f>
        <v>0</v>
      </c>
      <c r="X74" s="50" t="str">
        <f>IFERROR(VLOOKUP(Stanje[[#This Row],[Šifra motora]],baza_motora[],3,FALSE),"")</f>
        <v/>
      </c>
      <c r="Y74" s="50" t="str">
        <f>IFERROR(Stanje[[#This Row],[Početan broj motora]]-Stanje[[#This Row],[Broj montiranih motora]]+Stanje[[#This Row],[Broj ulaza motora]],"")</f>
        <v/>
      </c>
      <c r="Z74" s="25" t="str">
        <f>IFERROR(Stanje[[#This Row],[Početan broj motora]]-Stanje[[#This Row],[Broj prodanih motora]]-Stanje[[#This Row],[Broj montiranih motora]]+Stanje[[#This Row],[Broj ulaza motora]],"")</f>
        <v/>
      </c>
    </row>
    <row r="75" spans="1:26" x14ac:dyDescent="0.35">
      <c r="A75" s="51">
        <v>44677</v>
      </c>
      <c r="B75" s="25" t="str">
        <f>IFERROR(IF(ISBLANK(Ulaz_izlaz[[#This Row],[Šifra proizvoda vrata]]),"",Ulaz_izlaz[[#This Row],[Šifra proizvoda vrata]]),"")</f>
        <v/>
      </c>
      <c r="C75" s="25" t="str">
        <f>IFERROR(VLOOKUP(Stanje[[#This Row],[Šifra Vrata]],Vrata[],2,FALSE),"")</f>
        <v/>
      </c>
      <c r="D75" s="25" t="str">
        <f>IFERROR(VLOOKUP(Stanje[[#This Row],[Šifra Vrata]],Vrata[],3,FALSE),"")</f>
        <v/>
      </c>
      <c r="E75" s="25">
        <f>SUMIFS(Upis_stavki!M:M,Upis_stavki!B:B,Stanje[[#This Row],[Šifra Vrata]],Upis_stavki!J:J,"Ulaz")</f>
        <v>0</v>
      </c>
      <c r="F75" s="50">
        <f>SUMIFS(Upis_stavki!M:M,Upis_stavki!B:B,Stanje[[#This Row],[Šifra Vrata]],Upis_stavki!J:J,"Montirano")</f>
        <v>0</v>
      </c>
      <c r="G75" s="50">
        <f>SUMIFS(Upis_stavki!M:M,Upis_stavki!B:B,Stanje[[#This Row],[Šifra Vrata]],Upis_stavki!J:J,"Prodano")</f>
        <v>0</v>
      </c>
      <c r="H75" s="25" t="str">
        <f>IFERROR(VLOOKUP(Stanje[[#This Row],[Šifra Vrata]],Vrata[],4,FALSE),"")</f>
        <v/>
      </c>
      <c r="I75" s="25" t="str">
        <f>IFERROR(Stanje[[#This Row],[Početan broj vrata]]-Stanje[[#This Row],[Broj montiranih Vrata]]+Stanje[[#This Row],[Broj ulaza Vrata]],"")</f>
        <v/>
      </c>
      <c r="J75" s="25" t="str">
        <f>IFERROR(Stanje[[#This Row],[Početan broj vrata]]-Stanje[[#This Row],[Broj prodanih Vrata]]-Stanje[[#This Row],[Broj montiranih Vrata]]+Stanje[[#This Row],[Broj ulaza Vrata]],"")</f>
        <v/>
      </c>
      <c r="K75" s="45"/>
      <c r="L75" s="50" t="str">
        <f>IFERROR(IF(ISBLANK(Ulaz_izlaz[[#This Row],[Šifra vodilice]]),"",Ulaz_izlaz[[#This Row],[Šifra vodilice]]),"")</f>
        <v/>
      </c>
      <c r="M75" s="50">
        <f>SUMIFS(Upis_stavki!L:L,Upis_stavki!F:F,Stanje[[#This Row],[Šifra vodilica]],Upis_stavki!J:J,"Ulaz")</f>
        <v>0</v>
      </c>
      <c r="N75" s="50">
        <f>SUMIFS(Upis_stavki!L:L,Upis_stavki!F:F,Stanje[[#This Row],[Šifra vodilica]],Upis_stavki!J:J,"Montirano")</f>
        <v>0</v>
      </c>
      <c r="O75" s="25">
        <f>SUMIFS(Upis_stavki!L:L,Upis_stavki!F:F,Stanje[[#This Row],[Šifra vodilica]],Upis_stavki!J:J,"Prodano")</f>
        <v>0</v>
      </c>
      <c r="P75" s="25" t="str">
        <f>IFERROR(VLOOKUP(Stanje[[#This Row],[Šifra vodilica]],baza_vodilica[],3,FALSE),"")</f>
        <v/>
      </c>
      <c r="Q75" s="25" t="str">
        <f>IFERROR(Stanje[[#This Row],[Početan broj vodilica]]-Stanje[[#This Row],[Broj montiranih vodilica]]+Stanje[[#This Row],[Broj ulaza vodilica]],"")</f>
        <v/>
      </c>
      <c r="R75" s="25" t="str">
        <f>IFERROR(Stanje[[#This Row],[Početan broj vodilica]]-Stanje[[#This Row],[Broj prodanih vodilica]]-Stanje[[#This Row],[Broj montiranih vodilica]]+Stanje[[#This Row],[Broj ulaza vodilica]],"")</f>
        <v/>
      </c>
      <c r="S75" s="45"/>
      <c r="T75" s="25" t="str">
        <f>IFERROR(IF(ISBLANK(Ulaz_izlaz[[#This Row],[Šifra motora]]),"",Ulaz_izlaz[[#This Row],[Šifra motora]]),"")</f>
        <v/>
      </c>
      <c r="U75" s="50">
        <f>SUMIFS(Upis_stavki!K:K,Upis_stavki!H:H,Stanje[[#This Row],[Šifra motora]],Upis_stavki!J:J,"Ulaz")</f>
        <v>0</v>
      </c>
      <c r="V75" s="25">
        <f>SUMIFS(Upis_stavki!K:K,Upis_stavki!H:H,Stanje[[#This Row],[Šifra motora]],Upis_stavki!J:J,"Montirano")</f>
        <v>0</v>
      </c>
      <c r="W75" s="25">
        <f>SUMIFS(Upis_stavki!K:K,Upis_stavki!H:H,Stanje[[#This Row],[Šifra motora]],Upis_stavki!J:J,"Prodano")</f>
        <v>0</v>
      </c>
      <c r="X75" s="50" t="str">
        <f>IFERROR(VLOOKUP(Stanje[[#This Row],[Šifra motora]],baza_motora[],3,FALSE),"")</f>
        <v/>
      </c>
      <c r="Y75" s="50" t="str">
        <f>IFERROR(Stanje[[#This Row],[Početan broj motora]]-Stanje[[#This Row],[Broj montiranih motora]]+Stanje[[#This Row],[Broj ulaza motora]],"")</f>
        <v/>
      </c>
      <c r="Z75" s="25" t="str">
        <f>IFERROR(Stanje[[#This Row],[Početan broj motora]]-Stanje[[#This Row],[Broj prodanih motora]]-Stanje[[#This Row],[Broj montiranih motora]]+Stanje[[#This Row],[Broj ulaza motora]],"")</f>
        <v/>
      </c>
    </row>
    <row r="76" spans="1:26" x14ac:dyDescent="0.35">
      <c r="A76" s="51">
        <v>44678</v>
      </c>
      <c r="B76" s="25" t="str">
        <f>IFERROR(IF(ISBLANK(Ulaz_izlaz[[#This Row],[Šifra proizvoda vrata]]),"",Ulaz_izlaz[[#This Row],[Šifra proizvoda vrata]]),"")</f>
        <v/>
      </c>
      <c r="C76" s="25" t="str">
        <f>IFERROR(VLOOKUP(Stanje[[#This Row],[Šifra Vrata]],Vrata[],2,FALSE),"")</f>
        <v/>
      </c>
      <c r="D76" s="25" t="str">
        <f>IFERROR(VLOOKUP(Stanje[[#This Row],[Šifra Vrata]],Vrata[],3,FALSE),"")</f>
        <v/>
      </c>
      <c r="E76" s="25">
        <f>SUMIFS(Upis_stavki!M:M,Upis_stavki!B:B,Stanje[[#This Row],[Šifra Vrata]],Upis_stavki!J:J,"Ulaz")</f>
        <v>0</v>
      </c>
      <c r="F76" s="50">
        <f>SUMIFS(Upis_stavki!M:M,Upis_stavki!B:B,Stanje[[#This Row],[Šifra Vrata]],Upis_stavki!J:J,"Montirano")</f>
        <v>0</v>
      </c>
      <c r="G76" s="50">
        <f>SUMIFS(Upis_stavki!M:M,Upis_stavki!B:B,Stanje[[#This Row],[Šifra Vrata]],Upis_stavki!J:J,"Prodano")</f>
        <v>0</v>
      </c>
      <c r="H76" s="25" t="str">
        <f>IFERROR(VLOOKUP(Stanje[[#This Row],[Šifra Vrata]],Vrata[],4,FALSE),"")</f>
        <v/>
      </c>
      <c r="I76" s="25" t="str">
        <f>IFERROR(Stanje[[#This Row],[Početan broj vrata]]-Stanje[[#This Row],[Broj montiranih Vrata]]+Stanje[[#This Row],[Broj ulaza Vrata]],"")</f>
        <v/>
      </c>
      <c r="J76" s="25" t="str">
        <f>IFERROR(Stanje[[#This Row],[Početan broj vrata]]-Stanje[[#This Row],[Broj prodanih Vrata]]-Stanje[[#This Row],[Broj montiranih Vrata]]+Stanje[[#This Row],[Broj ulaza Vrata]],"")</f>
        <v/>
      </c>
      <c r="K76" s="45"/>
      <c r="L76" s="50" t="str">
        <f>IFERROR(IF(ISBLANK(Ulaz_izlaz[[#This Row],[Šifra vodilice]]),"",Ulaz_izlaz[[#This Row],[Šifra vodilice]]),"")</f>
        <v/>
      </c>
      <c r="M76" s="50">
        <f>SUMIFS(Upis_stavki!L:L,Upis_stavki!F:F,Stanje[[#This Row],[Šifra vodilica]],Upis_stavki!J:J,"Ulaz")</f>
        <v>0</v>
      </c>
      <c r="N76" s="50">
        <f>SUMIFS(Upis_stavki!L:L,Upis_stavki!F:F,Stanje[[#This Row],[Šifra vodilica]],Upis_stavki!J:J,"Montirano")</f>
        <v>0</v>
      </c>
      <c r="O76" s="25">
        <f>SUMIFS(Upis_stavki!L:L,Upis_stavki!F:F,Stanje[[#This Row],[Šifra vodilica]],Upis_stavki!J:J,"Prodano")</f>
        <v>0</v>
      </c>
      <c r="P76" s="25" t="str">
        <f>IFERROR(VLOOKUP(Stanje[[#This Row],[Šifra vodilica]],baza_vodilica[],3,FALSE),"")</f>
        <v/>
      </c>
      <c r="Q76" s="25" t="str">
        <f>IFERROR(Stanje[[#This Row],[Početan broj vodilica]]-Stanje[[#This Row],[Broj montiranih vodilica]]+Stanje[[#This Row],[Broj ulaza vodilica]],"")</f>
        <v/>
      </c>
      <c r="R76" s="25" t="str">
        <f>IFERROR(Stanje[[#This Row],[Početan broj vodilica]]-Stanje[[#This Row],[Broj prodanih vodilica]]-Stanje[[#This Row],[Broj montiranih vodilica]]+Stanje[[#This Row],[Broj ulaza vodilica]],"")</f>
        <v/>
      </c>
      <c r="S76" s="45"/>
      <c r="T76" s="25" t="str">
        <f>IFERROR(IF(ISBLANK(Ulaz_izlaz[[#This Row],[Šifra motora]]),"",Ulaz_izlaz[[#This Row],[Šifra motora]]),"")</f>
        <v/>
      </c>
      <c r="U76" s="50">
        <f>SUMIFS(Upis_stavki!K:K,Upis_stavki!H:H,Stanje[[#This Row],[Šifra motora]],Upis_stavki!J:J,"Ulaz")</f>
        <v>0</v>
      </c>
      <c r="V76" s="25">
        <f>SUMIFS(Upis_stavki!K:K,Upis_stavki!H:H,Stanje[[#This Row],[Šifra motora]],Upis_stavki!J:J,"Montirano")</f>
        <v>0</v>
      </c>
      <c r="W76" s="25">
        <f>SUMIFS(Upis_stavki!K:K,Upis_stavki!H:H,Stanje[[#This Row],[Šifra motora]],Upis_stavki!J:J,"Prodano")</f>
        <v>0</v>
      </c>
      <c r="X76" s="50" t="str">
        <f>IFERROR(VLOOKUP(Stanje[[#This Row],[Šifra motora]],baza_motora[],3,FALSE),"")</f>
        <v/>
      </c>
      <c r="Y76" s="50" t="str">
        <f>IFERROR(Stanje[[#This Row],[Početan broj motora]]-Stanje[[#This Row],[Broj montiranih motora]]+Stanje[[#This Row],[Broj ulaza motora]],"")</f>
        <v/>
      </c>
      <c r="Z76" s="25" t="str">
        <f>IFERROR(Stanje[[#This Row],[Početan broj motora]]-Stanje[[#This Row],[Broj prodanih motora]]-Stanje[[#This Row],[Broj montiranih motora]]+Stanje[[#This Row],[Broj ulaza motora]],"")</f>
        <v/>
      </c>
    </row>
    <row r="77" spans="1:26" x14ac:dyDescent="0.35">
      <c r="A77" s="51">
        <v>44679</v>
      </c>
      <c r="B77" s="25" t="str">
        <f>IFERROR(IF(ISBLANK(Ulaz_izlaz[[#This Row],[Šifra proizvoda vrata]]),"",Ulaz_izlaz[[#This Row],[Šifra proizvoda vrata]]),"")</f>
        <v/>
      </c>
      <c r="C77" s="25" t="str">
        <f>IFERROR(VLOOKUP(Stanje[[#This Row],[Šifra Vrata]],Vrata[],2,FALSE),"")</f>
        <v/>
      </c>
      <c r="D77" s="25" t="str">
        <f>IFERROR(VLOOKUP(Stanje[[#This Row],[Šifra Vrata]],Vrata[],3,FALSE),"")</f>
        <v/>
      </c>
      <c r="E77" s="25">
        <f>SUMIFS(Upis_stavki!M:M,Upis_stavki!B:B,Stanje[[#This Row],[Šifra Vrata]],Upis_stavki!J:J,"Ulaz")</f>
        <v>0</v>
      </c>
      <c r="F77" s="50">
        <f>SUMIFS(Upis_stavki!M:M,Upis_stavki!B:B,Stanje[[#This Row],[Šifra Vrata]],Upis_stavki!J:J,"Montirano")</f>
        <v>0</v>
      </c>
      <c r="G77" s="50">
        <f>SUMIFS(Upis_stavki!M:M,Upis_stavki!B:B,Stanje[[#This Row],[Šifra Vrata]],Upis_stavki!J:J,"Prodano")</f>
        <v>0</v>
      </c>
      <c r="H77" s="25" t="str">
        <f>IFERROR(VLOOKUP(Stanje[[#This Row],[Šifra Vrata]],Vrata[],4,FALSE),"")</f>
        <v/>
      </c>
      <c r="I77" s="25" t="str">
        <f>IFERROR(Stanje[[#This Row],[Početan broj vrata]]-Stanje[[#This Row],[Broj montiranih Vrata]]+Stanje[[#This Row],[Broj ulaza Vrata]],"")</f>
        <v/>
      </c>
      <c r="J77" s="25" t="str">
        <f>IFERROR(Stanje[[#This Row],[Početan broj vrata]]-Stanje[[#This Row],[Broj prodanih Vrata]]-Stanje[[#This Row],[Broj montiranih Vrata]]+Stanje[[#This Row],[Broj ulaza Vrata]],"")</f>
        <v/>
      </c>
      <c r="K77" s="45"/>
      <c r="L77" s="50" t="str">
        <f>IFERROR(IF(ISBLANK(Ulaz_izlaz[[#This Row],[Šifra vodilice]]),"",Ulaz_izlaz[[#This Row],[Šifra vodilice]]),"")</f>
        <v/>
      </c>
      <c r="M77" s="50">
        <f>SUMIFS(Upis_stavki!L:L,Upis_stavki!F:F,Stanje[[#This Row],[Šifra vodilica]],Upis_stavki!J:J,"Ulaz")</f>
        <v>0</v>
      </c>
      <c r="N77" s="50">
        <f>SUMIFS(Upis_stavki!L:L,Upis_stavki!F:F,Stanje[[#This Row],[Šifra vodilica]],Upis_stavki!J:J,"Montirano")</f>
        <v>0</v>
      </c>
      <c r="O77" s="25">
        <f>SUMIFS(Upis_stavki!L:L,Upis_stavki!F:F,Stanje[[#This Row],[Šifra vodilica]],Upis_stavki!J:J,"Prodano")</f>
        <v>0</v>
      </c>
      <c r="P77" s="25" t="str">
        <f>IFERROR(VLOOKUP(Stanje[[#This Row],[Šifra vodilica]],baza_vodilica[],3,FALSE),"")</f>
        <v/>
      </c>
      <c r="Q77" s="25" t="str">
        <f>IFERROR(Stanje[[#This Row],[Početan broj vodilica]]-Stanje[[#This Row],[Broj montiranih vodilica]]+Stanje[[#This Row],[Broj ulaza vodilica]],"")</f>
        <v/>
      </c>
      <c r="R77" s="25" t="str">
        <f>IFERROR(Stanje[[#This Row],[Početan broj vodilica]]-Stanje[[#This Row],[Broj prodanih vodilica]]-Stanje[[#This Row],[Broj montiranih vodilica]]+Stanje[[#This Row],[Broj ulaza vodilica]],"")</f>
        <v/>
      </c>
      <c r="S77" s="45"/>
      <c r="T77" s="25" t="str">
        <f>IFERROR(IF(ISBLANK(Ulaz_izlaz[[#This Row],[Šifra motora]]),"",Ulaz_izlaz[[#This Row],[Šifra motora]]),"")</f>
        <v/>
      </c>
      <c r="U77" s="50">
        <f>SUMIFS(Upis_stavki!K:K,Upis_stavki!H:H,Stanje[[#This Row],[Šifra motora]],Upis_stavki!J:J,"Ulaz")</f>
        <v>0</v>
      </c>
      <c r="V77" s="25">
        <f>SUMIFS(Upis_stavki!K:K,Upis_stavki!H:H,Stanje[[#This Row],[Šifra motora]],Upis_stavki!J:J,"Montirano")</f>
        <v>0</v>
      </c>
      <c r="W77" s="25">
        <f>SUMIFS(Upis_stavki!K:K,Upis_stavki!H:H,Stanje[[#This Row],[Šifra motora]],Upis_stavki!J:J,"Prodano")</f>
        <v>0</v>
      </c>
      <c r="X77" s="50" t="str">
        <f>IFERROR(VLOOKUP(Stanje[[#This Row],[Šifra motora]],baza_motora[],3,FALSE),"")</f>
        <v/>
      </c>
      <c r="Y77" s="50" t="str">
        <f>IFERROR(Stanje[[#This Row],[Početan broj motora]]-Stanje[[#This Row],[Broj montiranih motora]]+Stanje[[#This Row],[Broj ulaza motora]],"")</f>
        <v/>
      </c>
      <c r="Z77" s="25" t="str">
        <f>IFERROR(Stanje[[#This Row],[Početan broj motora]]-Stanje[[#This Row],[Broj prodanih motora]]-Stanje[[#This Row],[Broj montiranih motora]]+Stanje[[#This Row],[Broj ulaza motora]],"")</f>
        <v/>
      </c>
    </row>
    <row r="78" spans="1:26" x14ac:dyDescent="0.35">
      <c r="A78" s="51">
        <v>44680</v>
      </c>
      <c r="B78" s="25" t="str">
        <f>IFERROR(IF(ISBLANK(Ulaz_izlaz[[#This Row],[Šifra proizvoda vrata]]),"",Ulaz_izlaz[[#This Row],[Šifra proizvoda vrata]]),"")</f>
        <v/>
      </c>
      <c r="C78" s="25" t="str">
        <f>IFERROR(VLOOKUP(Stanje[[#This Row],[Šifra Vrata]],Vrata[],2,FALSE),"")</f>
        <v/>
      </c>
      <c r="D78" s="25" t="str">
        <f>IFERROR(VLOOKUP(Stanje[[#This Row],[Šifra Vrata]],Vrata[],3,FALSE),"")</f>
        <v/>
      </c>
      <c r="E78" s="25">
        <f>SUMIFS(Upis_stavki!M:M,Upis_stavki!B:B,Stanje[[#This Row],[Šifra Vrata]],Upis_stavki!J:J,"Ulaz")</f>
        <v>0</v>
      </c>
      <c r="F78" s="50">
        <f>SUMIFS(Upis_stavki!M:M,Upis_stavki!B:B,Stanje[[#This Row],[Šifra Vrata]],Upis_stavki!J:J,"Montirano")</f>
        <v>0</v>
      </c>
      <c r="G78" s="50">
        <f>SUMIFS(Upis_stavki!M:M,Upis_stavki!B:B,Stanje[[#This Row],[Šifra Vrata]],Upis_stavki!J:J,"Prodano")</f>
        <v>0</v>
      </c>
      <c r="H78" s="25" t="str">
        <f>IFERROR(VLOOKUP(Stanje[[#This Row],[Šifra Vrata]],Vrata[],4,FALSE),"")</f>
        <v/>
      </c>
      <c r="I78" s="25" t="str">
        <f>IFERROR(Stanje[[#This Row],[Početan broj vrata]]-Stanje[[#This Row],[Broj montiranih Vrata]]+Stanje[[#This Row],[Broj ulaza Vrata]],"")</f>
        <v/>
      </c>
      <c r="J78" s="25" t="str">
        <f>IFERROR(Stanje[[#This Row],[Početan broj vrata]]-Stanje[[#This Row],[Broj prodanih Vrata]]-Stanje[[#This Row],[Broj montiranih Vrata]]+Stanje[[#This Row],[Broj ulaza Vrata]],"")</f>
        <v/>
      </c>
      <c r="K78" s="45"/>
      <c r="L78" s="50" t="str">
        <f>IFERROR(IF(ISBLANK(Ulaz_izlaz[[#This Row],[Šifra vodilice]]),"",Ulaz_izlaz[[#This Row],[Šifra vodilice]]),"")</f>
        <v/>
      </c>
      <c r="M78" s="50">
        <f>SUMIFS(Upis_stavki!L:L,Upis_stavki!F:F,Stanje[[#This Row],[Šifra vodilica]],Upis_stavki!J:J,"Ulaz")</f>
        <v>0</v>
      </c>
      <c r="N78" s="50">
        <f>SUMIFS(Upis_stavki!L:L,Upis_stavki!F:F,Stanje[[#This Row],[Šifra vodilica]],Upis_stavki!J:J,"Montirano")</f>
        <v>0</v>
      </c>
      <c r="O78" s="25">
        <f>SUMIFS(Upis_stavki!L:L,Upis_stavki!F:F,Stanje[[#This Row],[Šifra vodilica]],Upis_stavki!J:J,"Prodano")</f>
        <v>0</v>
      </c>
      <c r="P78" s="25" t="str">
        <f>IFERROR(VLOOKUP(Stanje[[#This Row],[Šifra vodilica]],baza_vodilica[],3,FALSE),"")</f>
        <v/>
      </c>
      <c r="Q78" s="25" t="str">
        <f>IFERROR(Stanje[[#This Row],[Početan broj vodilica]]-Stanje[[#This Row],[Broj montiranih vodilica]]+Stanje[[#This Row],[Broj ulaza vodilica]],"")</f>
        <v/>
      </c>
      <c r="R78" s="25" t="str">
        <f>IFERROR(Stanje[[#This Row],[Početan broj vodilica]]-Stanje[[#This Row],[Broj prodanih vodilica]]-Stanje[[#This Row],[Broj montiranih vodilica]]+Stanje[[#This Row],[Broj ulaza vodilica]],"")</f>
        <v/>
      </c>
      <c r="S78" s="45"/>
      <c r="T78" s="25" t="str">
        <f>IFERROR(IF(ISBLANK(Ulaz_izlaz[[#This Row],[Šifra motora]]),"",Ulaz_izlaz[[#This Row],[Šifra motora]]),"")</f>
        <v/>
      </c>
      <c r="U78" s="50">
        <f>SUMIFS(Upis_stavki!K:K,Upis_stavki!H:H,Stanje[[#This Row],[Šifra motora]],Upis_stavki!J:J,"Ulaz")</f>
        <v>0</v>
      </c>
      <c r="V78" s="25">
        <f>SUMIFS(Upis_stavki!K:K,Upis_stavki!H:H,Stanje[[#This Row],[Šifra motora]],Upis_stavki!J:J,"Montirano")</f>
        <v>0</v>
      </c>
      <c r="W78" s="25">
        <f>SUMIFS(Upis_stavki!K:K,Upis_stavki!H:H,Stanje[[#This Row],[Šifra motora]],Upis_stavki!J:J,"Prodano")</f>
        <v>0</v>
      </c>
      <c r="X78" s="50" t="str">
        <f>IFERROR(VLOOKUP(Stanje[[#This Row],[Šifra motora]],baza_motora[],3,FALSE),"")</f>
        <v/>
      </c>
      <c r="Y78" s="50" t="str">
        <f>IFERROR(Stanje[[#This Row],[Početan broj motora]]-Stanje[[#This Row],[Broj montiranih motora]]+Stanje[[#This Row],[Broj ulaza motora]],"")</f>
        <v/>
      </c>
      <c r="Z78" s="25" t="str">
        <f>IFERROR(Stanje[[#This Row],[Početan broj motora]]-Stanje[[#This Row],[Broj prodanih motora]]-Stanje[[#This Row],[Broj montiranih motora]]+Stanje[[#This Row],[Broj ulaza motora]],"")</f>
        <v/>
      </c>
    </row>
    <row r="79" spans="1:26" x14ac:dyDescent="0.35">
      <c r="A79" s="51">
        <v>44681</v>
      </c>
      <c r="B79" s="25" t="str">
        <f>IFERROR(IF(ISBLANK(Ulaz_izlaz[[#This Row],[Šifra proizvoda vrata]]),"",Ulaz_izlaz[[#This Row],[Šifra proizvoda vrata]]),"")</f>
        <v/>
      </c>
      <c r="C79" s="25" t="str">
        <f>IFERROR(VLOOKUP(Stanje[[#This Row],[Šifra Vrata]],Vrata[],2,FALSE),"")</f>
        <v/>
      </c>
      <c r="D79" s="25" t="str">
        <f>IFERROR(VLOOKUP(Stanje[[#This Row],[Šifra Vrata]],Vrata[],3,FALSE),"")</f>
        <v/>
      </c>
      <c r="E79" s="25">
        <f>SUMIFS(Upis_stavki!M:M,Upis_stavki!B:B,Stanje[[#This Row],[Šifra Vrata]],Upis_stavki!J:J,"Ulaz")</f>
        <v>0</v>
      </c>
      <c r="F79" s="50">
        <f>SUMIFS(Upis_stavki!M:M,Upis_stavki!B:B,Stanje[[#This Row],[Šifra Vrata]],Upis_stavki!J:J,"Montirano")</f>
        <v>0</v>
      </c>
      <c r="G79" s="50">
        <f>SUMIFS(Upis_stavki!M:M,Upis_stavki!B:B,Stanje[[#This Row],[Šifra Vrata]],Upis_stavki!J:J,"Prodano")</f>
        <v>0</v>
      </c>
      <c r="H79" s="25" t="str">
        <f>IFERROR(VLOOKUP(Stanje[[#This Row],[Šifra Vrata]],Vrata[],4,FALSE),"")</f>
        <v/>
      </c>
      <c r="I79" s="25" t="str">
        <f>IFERROR(Stanje[[#This Row],[Početan broj vrata]]-Stanje[[#This Row],[Broj montiranih Vrata]]+Stanje[[#This Row],[Broj ulaza Vrata]],"")</f>
        <v/>
      </c>
      <c r="J79" s="25" t="str">
        <f>IFERROR(Stanje[[#This Row],[Početan broj vrata]]-Stanje[[#This Row],[Broj prodanih Vrata]]-Stanje[[#This Row],[Broj montiranih Vrata]]+Stanje[[#This Row],[Broj ulaza Vrata]],"")</f>
        <v/>
      </c>
      <c r="K79" s="45"/>
      <c r="L79" s="50" t="str">
        <f>IFERROR(IF(ISBLANK(Ulaz_izlaz[[#This Row],[Šifra vodilice]]),"",Ulaz_izlaz[[#This Row],[Šifra vodilice]]),"")</f>
        <v/>
      </c>
      <c r="M79" s="50">
        <f>SUMIFS(Upis_stavki!L:L,Upis_stavki!F:F,Stanje[[#This Row],[Šifra vodilica]],Upis_stavki!J:J,"Ulaz")</f>
        <v>0</v>
      </c>
      <c r="N79" s="50">
        <f>SUMIFS(Upis_stavki!L:L,Upis_stavki!F:F,Stanje[[#This Row],[Šifra vodilica]],Upis_stavki!J:J,"Montirano")</f>
        <v>0</v>
      </c>
      <c r="O79" s="25">
        <f>SUMIFS(Upis_stavki!L:L,Upis_stavki!F:F,Stanje[[#This Row],[Šifra vodilica]],Upis_stavki!J:J,"Prodano")</f>
        <v>0</v>
      </c>
      <c r="P79" s="25" t="str">
        <f>IFERROR(VLOOKUP(Stanje[[#This Row],[Šifra vodilica]],baza_vodilica[],3,FALSE),"")</f>
        <v/>
      </c>
      <c r="Q79" s="25" t="str">
        <f>IFERROR(Stanje[[#This Row],[Početan broj vodilica]]-Stanje[[#This Row],[Broj montiranih vodilica]]+Stanje[[#This Row],[Broj ulaza vodilica]],"")</f>
        <v/>
      </c>
      <c r="R79" s="25" t="str">
        <f>IFERROR(Stanje[[#This Row],[Početan broj vodilica]]-Stanje[[#This Row],[Broj prodanih vodilica]]-Stanje[[#This Row],[Broj montiranih vodilica]]+Stanje[[#This Row],[Broj ulaza vodilica]],"")</f>
        <v/>
      </c>
      <c r="S79" s="45"/>
      <c r="T79" s="25" t="str">
        <f>IFERROR(IF(ISBLANK(Ulaz_izlaz[[#This Row],[Šifra motora]]),"",Ulaz_izlaz[[#This Row],[Šifra motora]]),"")</f>
        <v/>
      </c>
      <c r="U79" s="50">
        <f>SUMIFS(Upis_stavki!K:K,Upis_stavki!H:H,Stanje[[#This Row],[Šifra motora]],Upis_stavki!J:J,"Ulaz")</f>
        <v>0</v>
      </c>
      <c r="V79" s="25">
        <f>SUMIFS(Upis_stavki!K:K,Upis_stavki!H:H,Stanje[[#This Row],[Šifra motora]],Upis_stavki!J:J,"Montirano")</f>
        <v>0</v>
      </c>
      <c r="W79" s="25">
        <f>SUMIFS(Upis_stavki!K:K,Upis_stavki!H:H,Stanje[[#This Row],[Šifra motora]],Upis_stavki!J:J,"Prodano")</f>
        <v>0</v>
      </c>
      <c r="X79" s="50" t="str">
        <f>IFERROR(VLOOKUP(Stanje[[#This Row],[Šifra motora]],baza_motora[],3,FALSE),"")</f>
        <v/>
      </c>
      <c r="Y79" s="50" t="str">
        <f>IFERROR(Stanje[[#This Row],[Početan broj motora]]-Stanje[[#This Row],[Broj montiranih motora]]+Stanje[[#This Row],[Broj ulaza motora]],"")</f>
        <v/>
      </c>
      <c r="Z79" s="25" t="str">
        <f>IFERROR(Stanje[[#This Row],[Početan broj motora]]-Stanje[[#This Row],[Broj prodanih motora]]-Stanje[[#This Row],[Broj montiranih motora]]+Stanje[[#This Row],[Broj ulaza motora]],"")</f>
        <v/>
      </c>
    </row>
    <row r="80" spans="1:26" x14ac:dyDescent="0.35">
      <c r="A80" s="51">
        <v>44682</v>
      </c>
      <c r="B80" s="25" t="str">
        <f>IFERROR(IF(ISBLANK(Ulaz_izlaz[[#This Row],[Šifra proizvoda vrata]]),"",Ulaz_izlaz[[#This Row],[Šifra proizvoda vrata]]),"")</f>
        <v/>
      </c>
      <c r="C80" s="25" t="str">
        <f>IFERROR(VLOOKUP(Stanje[[#This Row],[Šifra Vrata]],Vrata[],2,FALSE),"")</f>
        <v/>
      </c>
      <c r="D80" s="25" t="str">
        <f>IFERROR(VLOOKUP(Stanje[[#This Row],[Šifra Vrata]],Vrata[],3,FALSE),"")</f>
        <v/>
      </c>
      <c r="E80" s="25">
        <f>SUMIFS(Upis_stavki!M:M,Upis_stavki!B:B,Stanje[[#This Row],[Šifra Vrata]],Upis_stavki!J:J,"Ulaz")</f>
        <v>0</v>
      </c>
      <c r="F80" s="50">
        <f>SUMIFS(Upis_stavki!M:M,Upis_stavki!B:B,Stanje[[#This Row],[Šifra Vrata]],Upis_stavki!J:J,"Montirano")</f>
        <v>0</v>
      </c>
      <c r="G80" s="50">
        <f>SUMIFS(Upis_stavki!M:M,Upis_stavki!B:B,Stanje[[#This Row],[Šifra Vrata]],Upis_stavki!J:J,"Prodano")</f>
        <v>0</v>
      </c>
      <c r="H80" s="25" t="str">
        <f>IFERROR(VLOOKUP(Stanje[[#This Row],[Šifra Vrata]],Vrata[],4,FALSE),"")</f>
        <v/>
      </c>
      <c r="I80" s="25" t="str">
        <f>IFERROR(Stanje[[#This Row],[Početan broj vrata]]-Stanje[[#This Row],[Broj montiranih Vrata]]+Stanje[[#This Row],[Broj ulaza Vrata]],"")</f>
        <v/>
      </c>
      <c r="J80" s="25" t="str">
        <f>IFERROR(Stanje[[#This Row],[Početan broj vrata]]-Stanje[[#This Row],[Broj prodanih Vrata]]-Stanje[[#This Row],[Broj montiranih Vrata]]+Stanje[[#This Row],[Broj ulaza Vrata]],"")</f>
        <v/>
      </c>
      <c r="K80" s="45"/>
      <c r="L80" s="50" t="str">
        <f>IFERROR(IF(ISBLANK(Ulaz_izlaz[[#This Row],[Šifra vodilice]]),"",Ulaz_izlaz[[#This Row],[Šifra vodilice]]),"")</f>
        <v/>
      </c>
      <c r="M80" s="50">
        <f>SUMIFS(Upis_stavki!L:L,Upis_stavki!F:F,Stanje[[#This Row],[Šifra vodilica]],Upis_stavki!J:J,"Ulaz")</f>
        <v>0</v>
      </c>
      <c r="N80" s="50">
        <f>SUMIFS(Upis_stavki!L:L,Upis_stavki!F:F,Stanje[[#This Row],[Šifra vodilica]],Upis_stavki!J:J,"Montirano")</f>
        <v>0</v>
      </c>
      <c r="O80" s="25">
        <f>SUMIFS(Upis_stavki!L:L,Upis_stavki!F:F,Stanje[[#This Row],[Šifra vodilica]],Upis_stavki!J:J,"Prodano")</f>
        <v>0</v>
      </c>
      <c r="P80" s="25" t="str">
        <f>IFERROR(VLOOKUP(Stanje[[#This Row],[Šifra vodilica]],baza_vodilica[],3,FALSE),"")</f>
        <v/>
      </c>
      <c r="Q80" s="25" t="str">
        <f>IFERROR(Stanje[[#This Row],[Početan broj vodilica]]-Stanje[[#This Row],[Broj montiranih vodilica]]+Stanje[[#This Row],[Broj ulaza vodilica]],"")</f>
        <v/>
      </c>
      <c r="R80" s="25" t="str">
        <f>IFERROR(Stanje[[#This Row],[Početan broj vodilica]]-Stanje[[#This Row],[Broj prodanih vodilica]]-Stanje[[#This Row],[Broj montiranih vodilica]]+Stanje[[#This Row],[Broj ulaza vodilica]],"")</f>
        <v/>
      </c>
      <c r="S80" s="45"/>
      <c r="T80" s="25" t="str">
        <f>IFERROR(IF(ISBLANK(Ulaz_izlaz[[#This Row],[Šifra motora]]),"",Ulaz_izlaz[[#This Row],[Šifra motora]]),"")</f>
        <v/>
      </c>
      <c r="U80" s="50">
        <f>SUMIFS(Upis_stavki!K:K,Upis_stavki!H:H,Stanje[[#This Row],[Šifra motora]],Upis_stavki!J:J,"Ulaz")</f>
        <v>0</v>
      </c>
      <c r="V80" s="25">
        <f>SUMIFS(Upis_stavki!K:K,Upis_stavki!H:H,Stanje[[#This Row],[Šifra motora]],Upis_stavki!J:J,"Montirano")</f>
        <v>0</v>
      </c>
      <c r="W80" s="25">
        <f>SUMIFS(Upis_stavki!K:K,Upis_stavki!H:H,Stanje[[#This Row],[Šifra motora]],Upis_stavki!J:J,"Prodano")</f>
        <v>0</v>
      </c>
      <c r="X80" s="50" t="str">
        <f>IFERROR(VLOOKUP(Stanje[[#This Row],[Šifra motora]],baza_motora[],3,FALSE),"")</f>
        <v/>
      </c>
      <c r="Y80" s="50" t="str">
        <f>IFERROR(Stanje[[#This Row],[Početan broj motora]]-Stanje[[#This Row],[Broj montiranih motora]]+Stanje[[#This Row],[Broj ulaza motora]],"")</f>
        <v/>
      </c>
      <c r="Z80" s="25" t="str">
        <f>IFERROR(Stanje[[#This Row],[Početan broj motora]]-Stanje[[#This Row],[Broj prodanih motora]]-Stanje[[#This Row],[Broj montiranih motora]]+Stanje[[#This Row],[Broj ulaza motora]],"")</f>
        <v/>
      </c>
    </row>
    <row r="81" spans="1:26" x14ac:dyDescent="0.35">
      <c r="A81" s="51">
        <v>44683</v>
      </c>
      <c r="B81" s="25" t="str">
        <f>IFERROR(IF(ISBLANK(Ulaz_izlaz[[#This Row],[Šifra proizvoda vrata]]),"",Ulaz_izlaz[[#This Row],[Šifra proizvoda vrata]]),"")</f>
        <v/>
      </c>
      <c r="C81" s="25" t="str">
        <f>IFERROR(VLOOKUP(Stanje[[#This Row],[Šifra Vrata]],Vrata[],2,FALSE),"")</f>
        <v/>
      </c>
      <c r="D81" s="25" t="str">
        <f>IFERROR(VLOOKUP(Stanje[[#This Row],[Šifra Vrata]],Vrata[],3,FALSE),"")</f>
        <v/>
      </c>
      <c r="E81" s="25">
        <f>SUMIFS(Upis_stavki!M:M,Upis_stavki!B:B,Stanje[[#This Row],[Šifra Vrata]],Upis_stavki!J:J,"Ulaz")</f>
        <v>0</v>
      </c>
      <c r="F81" s="50">
        <f>SUMIFS(Upis_stavki!M:M,Upis_stavki!B:B,Stanje[[#This Row],[Šifra Vrata]],Upis_stavki!J:J,"Montirano")</f>
        <v>0</v>
      </c>
      <c r="G81" s="50">
        <f>SUMIFS(Upis_stavki!M:M,Upis_stavki!B:B,Stanje[[#This Row],[Šifra Vrata]],Upis_stavki!J:J,"Prodano")</f>
        <v>0</v>
      </c>
      <c r="H81" s="25" t="str">
        <f>IFERROR(VLOOKUP(Stanje[[#This Row],[Šifra Vrata]],Vrata[],4,FALSE),"")</f>
        <v/>
      </c>
      <c r="I81" s="25" t="str">
        <f>IFERROR(Stanje[[#This Row],[Početan broj vrata]]-Stanje[[#This Row],[Broj montiranih Vrata]]+Stanje[[#This Row],[Broj ulaza Vrata]],"")</f>
        <v/>
      </c>
      <c r="J81" s="25" t="str">
        <f>IFERROR(Stanje[[#This Row],[Početan broj vrata]]-Stanje[[#This Row],[Broj prodanih Vrata]]-Stanje[[#This Row],[Broj montiranih Vrata]]+Stanje[[#This Row],[Broj ulaza Vrata]],"")</f>
        <v/>
      </c>
      <c r="K81" s="45"/>
      <c r="L81" s="50" t="str">
        <f>IFERROR(IF(ISBLANK(Ulaz_izlaz[[#This Row],[Šifra vodilice]]),"",Ulaz_izlaz[[#This Row],[Šifra vodilice]]),"")</f>
        <v/>
      </c>
      <c r="M81" s="50">
        <f>SUMIFS(Upis_stavki!L:L,Upis_stavki!F:F,Stanje[[#This Row],[Šifra vodilica]],Upis_stavki!J:J,"Ulaz")</f>
        <v>0</v>
      </c>
      <c r="N81" s="50">
        <f>SUMIFS(Upis_stavki!L:L,Upis_stavki!F:F,Stanje[[#This Row],[Šifra vodilica]],Upis_stavki!J:J,"Montirano")</f>
        <v>0</v>
      </c>
      <c r="O81" s="25">
        <f>SUMIFS(Upis_stavki!L:L,Upis_stavki!F:F,Stanje[[#This Row],[Šifra vodilica]],Upis_stavki!J:J,"Prodano")</f>
        <v>0</v>
      </c>
      <c r="P81" s="25" t="str">
        <f>IFERROR(VLOOKUP(Stanje[[#This Row],[Šifra vodilica]],baza_vodilica[],3,FALSE),"")</f>
        <v/>
      </c>
      <c r="Q81" s="25" t="str">
        <f>IFERROR(Stanje[[#This Row],[Početan broj vodilica]]-Stanje[[#This Row],[Broj montiranih vodilica]]+Stanje[[#This Row],[Broj ulaza vodilica]],"")</f>
        <v/>
      </c>
      <c r="R81" s="25" t="str">
        <f>IFERROR(Stanje[[#This Row],[Početan broj vodilica]]-Stanje[[#This Row],[Broj prodanih vodilica]]-Stanje[[#This Row],[Broj montiranih vodilica]]+Stanje[[#This Row],[Broj ulaza vodilica]],"")</f>
        <v/>
      </c>
      <c r="S81" s="45"/>
      <c r="T81" s="25" t="str">
        <f>IFERROR(IF(ISBLANK(Ulaz_izlaz[[#This Row],[Šifra motora]]),"",Ulaz_izlaz[[#This Row],[Šifra motora]]),"")</f>
        <v/>
      </c>
      <c r="U81" s="50">
        <f>SUMIFS(Upis_stavki!K:K,Upis_stavki!H:H,Stanje[[#This Row],[Šifra motora]],Upis_stavki!J:J,"Ulaz")</f>
        <v>0</v>
      </c>
      <c r="V81" s="25">
        <f>SUMIFS(Upis_stavki!K:K,Upis_stavki!H:H,Stanje[[#This Row],[Šifra motora]],Upis_stavki!J:J,"Montirano")</f>
        <v>0</v>
      </c>
      <c r="W81" s="25">
        <f>SUMIFS(Upis_stavki!K:K,Upis_stavki!H:H,Stanje[[#This Row],[Šifra motora]],Upis_stavki!J:J,"Prodano")</f>
        <v>0</v>
      </c>
      <c r="X81" s="50" t="str">
        <f>IFERROR(VLOOKUP(Stanje[[#This Row],[Šifra motora]],baza_motora[],3,FALSE),"")</f>
        <v/>
      </c>
      <c r="Y81" s="50" t="str">
        <f>IFERROR(Stanje[[#This Row],[Početan broj motora]]-Stanje[[#This Row],[Broj montiranih motora]]+Stanje[[#This Row],[Broj ulaza motora]],"")</f>
        <v/>
      </c>
      <c r="Z81" s="25" t="str">
        <f>IFERROR(Stanje[[#This Row],[Početan broj motora]]-Stanje[[#This Row],[Broj prodanih motora]]-Stanje[[#This Row],[Broj montiranih motora]]+Stanje[[#This Row],[Broj ulaza motora]],"")</f>
        <v/>
      </c>
    </row>
    <row r="82" spans="1:26" x14ac:dyDescent="0.35">
      <c r="A82" s="51">
        <v>44684</v>
      </c>
      <c r="B82" s="25" t="str">
        <f>IFERROR(IF(ISBLANK(Ulaz_izlaz[[#This Row],[Šifra proizvoda vrata]]),"",Ulaz_izlaz[[#This Row],[Šifra proizvoda vrata]]),"")</f>
        <v/>
      </c>
      <c r="C82" s="25" t="str">
        <f>IFERROR(VLOOKUP(Stanje[[#This Row],[Šifra Vrata]],Vrata[],2,FALSE),"")</f>
        <v/>
      </c>
      <c r="D82" s="25" t="str">
        <f>IFERROR(VLOOKUP(Stanje[[#This Row],[Šifra Vrata]],Vrata[],3,FALSE),"")</f>
        <v/>
      </c>
      <c r="E82" s="25">
        <f>SUMIFS(Upis_stavki!M:M,Upis_stavki!B:B,Stanje[[#This Row],[Šifra Vrata]],Upis_stavki!J:J,"Ulaz")</f>
        <v>0</v>
      </c>
      <c r="F82" s="50">
        <f>SUMIFS(Upis_stavki!M:M,Upis_stavki!B:B,Stanje[[#This Row],[Šifra Vrata]],Upis_stavki!J:J,"Montirano")</f>
        <v>0</v>
      </c>
      <c r="G82" s="50">
        <f>SUMIFS(Upis_stavki!M:M,Upis_stavki!B:B,Stanje[[#This Row],[Šifra Vrata]],Upis_stavki!J:J,"Prodano")</f>
        <v>0</v>
      </c>
      <c r="H82" s="25" t="str">
        <f>IFERROR(VLOOKUP(Stanje[[#This Row],[Šifra Vrata]],Vrata[],4,FALSE),"")</f>
        <v/>
      </c>
      <c r="I82" s="25" t="str">
        <f>IFERROR(Stanje[[#This Row],[Početan broj vrata]]-Stanje[[#This Row],[Broj montiranih Vrata]]+Stanje[[#This Row],[Broj ulaza Vrata]],"")</f>
        <v/>
      </c>
      <c r="J82" s="25" t="str">
        <f>IFERROR(Stanje[[#This Row],[Početan broj vrata]]-Stanje[[#This Row],[Broj prodanih Vrata]]-Stanje[[#This Row],[Broj montiranih Vrata]]+Stanje[[#This Row],[Broj ulaza Vrata]],"")</f>
        <v/>
      </c>
      <c r="K82" s="45"/>
      <c r="L82" s="50" t="str">
        <f>IFERROR(IF(ISBLANK(Ulaz_izlaz[[#This Row],[Šifra vodilice]]),"",Ulaz_izlaz[[#This Row],[Šifra vodilice]]),"")</f>
        <v/>
      </c>
      <c r="M82" s="50">
        <f>SUMIFS(Upis_stavki!L:L,Upis_stavki!F:F,Stanje[[#This Row],[Šifra vodilica]],Upis_stavki!J:J,"Ulaz")</f>
        <v>0</v>
      </c>
      <c r="N82" s="50">
        <f>SUMIFS(Upis_stavki!L:L,Upis_stavki!F:F,Stanje[[#This Row],[Šifra vodilica]],Upis_stavki!J:J,"Montirano")</f>
        <v>0</v>
      </c>
      <c r="O82" s="25">
        <f>SUMIFS(Upis_stavki!L:L,Upis_stavki!F:F,Stanje[[#This Row],[Šifra vodilica]],Upis_stavki!J:J,"Prodano")</f>
        <v>0</v>
      </c>
      <c r="P82" s="25" t="str">
        <f>IFERROR(VLOOKUP(Stanje[[#This Row],[Šifra vodilica]],baza_vodilica[],3,FALSE),"")</f>
        <v/>
      </c>
      <c r="Q82" s="25" t="str">
        <f>IFERROR(Stanje[[#This Row],[Početan broj vodilica]]-Stanje[[#This Row],[Broj montiranih vodilica]]+Stanje[[#This Row],[Broj ulaza vodilica]],"")</f>
        <v/>
      </c>
      <c r="R82" s="25" t="str">
        <f>IFERROR(Stanje[[#This Row],[Početan broj vodilica]]-Stanje[[#This Row],[Broj prodanih vodilica]]-Stanje[[#This Row],[Broj montiranih vodilica]]+Stanje[[#This Row],[Broj ulaza vodilica]],"")</f>
        <v/>
      </c>
      <c r="S82" s="45"/>
      <c r="T82" s="25" t="str">
        <f>IFERROR(IF(ISBLANK(Ulaz_izlaz[[#This Row],[Šifra motora]]),"",Ulaz_izlaz[[#This Row],[Šifra motora]]),"")</f>
        <v/>
      </c>
      <c r="U82" s="50">
        <f>SUMIFS(Upis_stavki!K:K,Upis_stavki!H:H,Stanje[[#This Row],[Šifra motora]],Upis_stavki!J:J,"Ulaz")</f>
        <v>0</v>
      </c>
      <c r="V82" s="25">
        <f>SUMIFS(Upis_stavki!K:K,Upis_stavki!H:H,Stanje[[#This Row],[Šifra motora]],Upis_stavki!J:J,"Montirano")</f>
        <v>0</v>
      </c>
      <c r="W82" s="25">
        <f>SUMIFS(Upis_stavki!K:K,Upis_stavki!H:H,Stanje[[#This Row],[Šifra motora]],Upis_stavki!J:J,"Prodano")</f>
        <v>0</v>
      </c>
      <c r="X82" s="50" t="str">
        <f>IFERROR(VLOOKUP(Stanje[[#This Row],[Šifra motora]],baza_motora[],3,FALSE),"")</f>
        <v/>
      </c>
      <c r="Y82" s="50" t="str">
        <f>IFERROR(Stanje[[#This Row],[Početan broj motora]]-Stanje[[#This Row],[Broj montiranih motora]]+Stanje[[#This Row],[Broj ulaza motora]],"")</f>
        <v/>
      </c>
      <c r="Z82" s="25" t="str">
        <f>IFERROR(Stanje[[#This Row],[Početan broj motora]]-Stanje[[#This Row],[Broj prodanih motora]]-Stanje[[#This Row],[Broj montiranih motora]]+Stanje[[#This Row],[Broj ulaza motora]],"")</f>
        <v/>
      </c>
    </row>
    <row r="83" spans="1:26" x14ac:dyDescent="0.35">
      <c r="A83" s="51">
        <v>44685</v>
      </c>
      <c r="B83" s="25" t="str">
        <f>IFERROR(IF(ISBLANK(Ulaz_izlaz[[#This Row],[Šifra proizvoda vrata]]),"",Ulaz_izlaz[[#This Row],[Šifra proizvoda vrata]]),"")</f>
        <v/>
      </c>
      <c r="C83" s="25" t="str">
        <f>IFERROR(VLOOKUP(Stanje[[#This Row],[Šifra Vrata]],Vrata[],2,FALSE),"")</f>
        <v/>
      </c>
      <c r="D83" s="25" t="str">
        <f>IFERROR(VLOOKUP(Stanje[[#This Row],[Šifra Vrata]],Vrata[],3,FALSE),"")</f>
        <v/>
      </c>
      <c r="E83" s="25">
        <f>SUMIFS(Upis_stavki!M:M,Upis_stavki!B:B,Stanje[[#This Row],[Šifra Vrata]],Upis_stavki!J:J,"Ulaz")</f>
        <v>0</v>
      </c>
      <c r="F83" s="50">
        <f>SUMIFS(Upis_stavki!M:M,Upis_stavki!B:B,Stanje[[#This Row],[Šifra Vrata]],Upis_stavki!J:J,"Montirano")</f>
        <v>0</v>
      </c>
      <c r="G83" s="50">
        <f>SUMIFS(Upis_stavki!M:M,Upis_stavki!B:B,Stanje[[#This Row],[Šifra Vrata]],Upis_stavki!J:J,"Prodano")</f>
        <v>0</v>
      </c>
      <c r="H83" s="25" t="str">
        <f>IFERROR(VLOOKUP(Stanje[[#This Row],[Šifra Vrata]],Vrata[],4,FALSE),"")</f>
        <v/>
      </c>
      <c r="I83" s="25" t="str">
        <f>IFERROR(Stanje[[#This Row],[Početan broj vrata]]-Stanje[[#This Row],[Broj montiranih Vrata]]+Stanje[[#This Row],[Broj ulaza Vrata]],"")</f>
        <v/>
      </c>
      <c r="J83" s="25" t="str">
        <f>IFERROR(Stanje[[#This Row],[Početan broj vrata]]-Stanje[[#This Row],[Broj prodanih Vrata]]-Stanje[[#This Row],[Broj montiranih Vrata]]+Stanje[[#This Row],[Broj ulaza Vrata]],"")</f>
        <v/>
      </c>
      <c r="K83" s="45"/>
      <c r="L83" s="50" t="str">
        <f>IFERROR(IF(ISBLANK(Ulaz_izlaz[[#This Row],[Šifra vodilice]]),"",Ulaz_izlaz[[#This Row],[Šifra vodilice]]),"")</f>
        <v/>
      </c>
      <c r="M83" s="50">
        <f>SUMIFS(Upis_stavki!L:L,Upis_stavki!F:F,Stanje[[#This Row],[Šifra vodilica]],Upis_stavki!J:J,"Ulaz")</f>
        <v>0</v>
      </c>
      <c r="N83" s="50">
        <f>SUMIFS(Upis_stavki!L:L,Upis_stavki!F:F,Stanje[[#This Row],[Šifra vodilica]],Upis_stavki!J:J,"Montirano")</f>
        <v>0</v>
      </c>
      <c r="O83" s="25">
        <f>SUMIFS(Upis_stavki!L:L,Upis_stavki!F:F,Stanje[[#This Row],[Šifra vodilica]],Upis_stavki!J:J,"Prodano")</f>
        <v>0</v>
      </c>
      <c r="P83" s="25" t="str">
        <f>IFERROR(VLOOKUP(Stanje[[#This Row],[Šifra vodilica]],baza_vodilica[],3,FALSE),"")</f>
        <v/>
      </c>
      <c r="Q83" s="25" t="str">
        <f>IFERROR(Stanje[[#This Row],[Početan broj vodilica]]-Stanje[[#This Row],[Broj montiranih vodilica]]+Stanje[[#This Row],[Broj ulaza vodilica]],"")</f>
        <v/>
      </c>
      <c r="R83" s="25" t="str">
        <f>IFERROR(Stanje[[#This Row],[Početan broj vodilica]]-Stanje[[#This Row],[Broj prodanih vodilica]]-Stanje[[#This Row],[Broj montiranih vodilica]]+Stanje[[#This Row],[Broj ulaza vodilica]],"")</f>
        <v/>
      </c>
      <c r="S83" s="45"/>
      <c r="T83" s="25" t="str">
        <f>IFERROR(IF(ISBLANK(Ulaz_izlaz[[#This Row],[Šifra motora]]),"",Ulaz_izlaz[[#This Row],[Šifra motora]]),"")</f>
        <v/>
      </c>
      <c r="U83" s="50">
        <f>SUMIFS(Upis_stavki!K:K,Upis_stavki!H:H,Stanje[[#This Row],[Šifra motora]],Upis_stavki!J:J,"Ulaz")</f>
        <v>0</v>
      </c>
      <c r="V83" s="25">
        <f>SUMIFS(Upis_stavki!K:K,Upis_stavki!H:H,Stanje[[#This Row],[Šifra motora]],Upis_stavki!J:J,"Montirano")</f>
        <v>0</v>
      </c>
      <c r="W83" s="25">
        <f>SUMIFS(Upis_stavki!K:K,Upis_stavki!H:H,Stanje[[#This Row],[Šifra motora]],Upis_stavki!J:J,"Prodano")</f>
        <v>0</v>
      </c>
      <c r="X83" s="50" t="str">
        <f>IFERROR(VLOOKUP(Stanje[[#This Row],[Šifra motora]],baza_motora[],3,FALSE),"")</f>
        <v/>
      </c>
      <c r="Y83" s="50" t="str">
        <f>IFERROR(Stanje[[#This Row],[Početan broj motora]]-Stanje[[#This Row],[Broj montiranih motora]]+Stanje[[#This Row],[Broj ulaza motora]],"")</f>
        <v/>
      </c>
      <c r="Z83" s="25" t="str">
        <f>IFERROR(Stanje[[#This Row],[Početan broj motora]]-Stanje[[#This Row],[Broj prodanih motora]]-Stanje[[#This Row],[Broj montiranih motora]]+Stanje[[#This Row],[Broj ulaza motora]],"")</f>
        <v/>
      </c>
    </row>
    <row r="84" spans="1:26" x14ac:dyDescent="0.35">
      <c r="A84" s="51">
        <v>44686</v>
      </c>
      <c r="B84" s="25" t="str">
        <f>IFERROR(IF(ISBLANK(Ulaz_izlaz[[#This Row],[Šifra proizvoda vrata]]),"",Ulaz_izlaz[[#This Row],[Šifra proizvoda vrata]]),"")</f>
        <v/>
      </c>
      <c r="C84" s="25" t="str">
        <f>IFERROR(VLOOKUP(Stanje[[#This Row],[Šifra Vrata]],Vrata[],2,FALSE),"")</f>
        <v/>
      </c>
      <c r="D84" s="25" t="str">
        <f>IFERROR(VLOOKUP(Stanje[[#This Row],[Šifra Vrata]],Vrata[],3,FALSE),"")</f>
        <v/>
      </c>
      <c r="E84" s="25">
        <f>SUMIFS(Upis_stavki!M:M,Upis_stavki!B:B,Stanje[[#This Row],[Šifra Vrata]],Upis_stavki!J:J,"Ulaz")</f>
        <v>0</v>
      </c>
      <c r="F84" s="50">
        <f>SUMIFS(Upis_stavki!M:M,Upis_stavki!B:B,Stanje[[#This Row],[Šifra Vrata]],Upis_stavki!J:J,"Montirano")</f>
        <v>0</v>
      </c>
      <c r="G84" s="50">
        <f>SUMIFS(Upis_stavki!M:M,Upis_stavki!B:B,Stanje[[#This Row],[Šifra Vrata]],Upis_stavki!J:J,"Prodano")</f>
        <v>0</v>
      </c>
      <c r="H84" s="25" t="str">
        <f>IFERROR(VLOOKUP(Stanje[[#This Row],[Šifra Vrata]],Vrata[],4,FALSE),"")</f>
        <v/>
      </c>
      <c r="I84" s="25" t="str">
        <f>IFERROR(Stanje[[#This Row],[Početan broj vrata]]-Stanje[[#This Row],[Broj montiranih Vrata]]+Stanje[[#This Row],[Broj ulaza Vrata]],"")</f>
        <v/>
      </c>
      <c r="J84" s="25" t="str">
        <f>IFERROR(Stanje[[#This Row],[Početan broj vrata]]-Stanje[[#This Row],[Broj prodanih Vrata]]-Stanje[[#This Row],[Broj montiranih Vrata]]+Stanje[[#This Row],[Broj ulaza Vrata]],"")</f>
        <v/>
      </c>
      <c r="K84" s="45"/>
      <c r="L84" s="50" t="str">
        <f>IFERROR(IF(ISBLANK(Ulaz_izlaz[[#This Row],[Šifra vodilice]]),"",Ulaz_izlaz[[#This Row],[Šifra vodilice]]),"")</f>
        <v/>
      </c>
      <c r="M84" s="50">
        <f>SUMIFS(Upis_stavki!L:L,Upis_stavki!F:F,Stanje[[#This Row],[Šifra vodilica]],Upis_stavki!J:J,"Ulaz")</f>
        <v>0</v>
      </c>
      <c r="N84" s="50">
        <f>SUMIFS(Upis_stavki!L:L,Upis_stavki!F:F,Stanje[[#This Row],[Šifra vodilica]],Upis_stavki!J:J,"Montirano")</f>
        <v>0</v>
      </c>
      <c r="O84" s="25">
        <f>SUMIFS(Upis_stavki!L:L,Upis_stavki!F:F,Stanje[[#This Row],[Šifra vodilica]],Upis_stavki!J:J,"Prodano")</f>
        <v>0</v>
      </c>
      <c r="P84" s="25" t="str">
        <f>IFERROR(VLOOKUP(Stanje[[#This Row],[Šifra vodilica]],baza_vodilica[],3,FALSE),"")</f>
        <v/>
      </c>
      <c r="Q84" s="25" t="str">
        <f>IFERROR(Stanje[[#This Row],[Početan broj vodilica]]-Stanje[[#This Row],[Broj montiranih vodilica]]+Stanje[[#This Row],[Broj ulaza vodilica]],"")</f>
        <v/>
      </c>
      <c r="R84" s="25" t="str">
        <f>IFERROR(Stanje[[#This Row],[Početan broj vodilica]]-Stanje[[#This Row],[Broj prodanih vodilica]]-Stanje[[#This Row],[Broj montiranih vodilica]]+Stanje[[#This Row],[Broj ulaza vodilica]],"")</f>
        <v/>
      </c>
      <c r="S84" s="45"/>
      <c r="T84" s="25" t="str">
        <f>IFERROR(IF(ISBLANK(Ulaz_izlaz[[#This Row],[Šifra motora]]),"",Ulaz_izlaz[[#This Row],[Šifra motora]]),"")</f>
        <v/>
      </c>
      <c r="U84" s="50">
        <f>SUMIFS(Upis_stavki!K:K,Upis_stavki!H:H,Stanje[[#This Row],[Šifra motora]],Upis_stavki!J:J,"Ulaz")</f>
        <v>0</v>
      </c>
      <c r="V84" s="25">
        <f>SUMIFS(Upis_stavki!K:K,Upis_stavki!H:H,Stanje[[#This Row],[Šifra motora]],Upis_stavki!J:J,"Montirano")</f>
        <v>0</v>
      </c>
      <c r="W84" s="25">
        <f>SUMIFS(Upis_stavki!K:K,Upis_stavki!H:H,Stanje[[#This Row],[Šifra motora]],Upis_stavki!J:J,"Prodano")</f>
        <v>0</v>
      </c>
      <c r="X84" s="50" t="str">
        <f>IFERROR(VLOOKUP(Stanje[[#This Row],[Šifra motora]],baza_motora[],3,FALSE),"")</f>
        <v/>
      </c>
      <c r="Y84" s="50" t="str">
        <f>IFERROR(Stanje[[#This Row],[Početan broj motora]]-Stanje[[#This Row],[Broj montiranih motora]]+Stanje[[#This Row],[Broj ulaza motora]],"")</f>
        <v/>
      </c>
      <c r="Z84" s="25" t="str">
        <f>IFERROR(Stanje[[#This Row],[Početan broj motora]]-Stanje[[#This Row],[Broj prodanih motora]]-Stanje[[#This Row],[Broj montiranih motora]]+Stanje[[#This Row],[Broj ulaza motora]],"")</f>
        <v/>
      </c>
    </row>
    <row r="85" spans="1:26" x14ac:dyDescent="0.35">
      <c r="A85" s="51">
        <v>44687</v>
      </c>
      <c r="B85" s="25" t="str">
        <f>IFERROR(IF(ISBLANK(Ulaz_izlaz[[#This Row],[Šifra proizvoda vrata]]),"",Ulaz_izlaz[[#This Row],[Šifra proizvoda vrata]]),"")</f>
        <v/>
      </c>
      <c r="C85" s="25" t="str">
        <f>IFERROR(VLOOKUP(Stanje[[#This Row],[Šifra Vrata]],Vrata[],2,FALSE),"")</f>
        <v/>
      </c>
      <c r="D85" s="25" t="str">
        <f>IFERROR(VLOOKUP(Stanje[[#This Row],[Šifra Vrata]],Vrata[],3,FALSE),"")</f>
        <v/>
      </c>
      <c r="E85" s="25">
        <f>SUMIFS(Upis_stavki!M:M,Upis_stavki!B:B,Stanje[[#This Row],[Šifra Vrata]],Upis_stavki!J:J,"Ulaz")</f>
        <v>0</v>
      </c>
      <c r="F85" s="50">
        <f>SUMIFS(Upis_stavki!M:M,Upis_stavki!B:B,Stanje[[#This Row],[Šifra Vrata]],Upis_stavki!J:J,"Montirano")</f>
        <v>0</v>
      </c>
      <c r="G85" s="50">
        <f>SUMIFS(Upis_stavki!M:M,Upis_stavki!B:B,Stanje[[#This Row],[Šifra Vrata]],Upis_stavki!J:J,"Prodano")</f>
        <v>0</v>
      </c>
      <c r="H85" s="25" t="str">
        <f>IFERROR(VLOOKUP(Stanje[[#This Row],[Šifra Vrata]],Vrata[],4,FALSE),"")</f>
        <v/>
      </c>
      <c r="I85" s="25" t="str">
        <f>IFERROR(Stanje[[#This Row],[Početan broj vrata]]-Stanje[[#This Row],[Broj montiranih Vrata]]+Stanje[[#This Row],[Broj ulaza Vrata]],"")</f>
        <v/>
      </c>
      <c r="J85" s="25" t="str">
        <f>IFERROR(Stanje[[#This Row],[Početan broj vrata]]-Stanje[[#This Row],[Broj prodanih Vrata]]-Stanje[[#This Row],[Broj montiranih Vrata]]+Stanje[[#This Row],[Broj ulaza Vrata]],"")</f>
        <v/>
      </c>
      <c r="K85" s="45"/>
      <c r="L85" s="50" t="str">
        <f>IFERROR(IF(ISBLANK(Ulaz_izlaz[[#This Row],[Šifra vodilice]]),"",Ulaz_izlaz[[#This Row],[Šifra vodilice]]),"")</f>
        <v/>
      </c>
      <c r="M85" s="50">
        <f>SUMIFS(Upis_stavki!L:L,Upis_stavki!F:F,Stanje[[#This Row],[Šifra vodilica]],Upis_stavki!J:J,"Ulaz")</f>
        <v>0</v>
      </c>
      <c r="N85" s="50">
        <f>SUMIFS(Upis_stavki!L:L,Upis_stavki!F:F,Stanje[[#This Row],[Šifra vodilica]],Upis_stavki!J:J,"Montirano")</f>
        <v>0</v>
      </c>
      <c r="O85" s="25">
        <f>SUMIFS(Upis_stavki!L:L,Upis_stavki!F:F,Stanje[[#This Row],[Šifra vodilica]],Upis_stavki!J:J,"Prodano")</f>
        <v>0</v>
      </c>
      <c r="P85" s="25" t="str">
        <f>IFERROR(VLOOKUP(Stanje[[#This Row],[Šifra vodilica]],baza_vodilica[],3,FALSE),"")</f>
        <v/>
      </c>
      <c r="Q85" s="25" t="str">
        <f>IFERROR(Stanje[[#This Row],[Početan broj vodilica]]-Stanje[[#This Row],[Broj montiranih vodilica]]+Stanje[[#This Row],[Broj ulaza vodilica]],"")</f>
        <v/>
      </c>
      <c r="R85" s="25" t="str">
        <f>IFERROR(Stanje[[#This Row],[Početan broj vodilica]]-Stanje[[#This Row],[Broj prodanih vodilica]]-Stanje[[#This Row],[Broj montiranih vodilica]]+Stanje[[#This Row],[Broj ulaza vodilica]],"")</f>
        <v/>
      </c>
      <c r="S85" s="45"/>
      <c r="T85" s="25" t="str">
        <f>IFERROR(IF(ISBLANK(Ulaz_izlaz[[#This Row],[Šifra motora]]),"",Ulaz_izlaz[[#This Row],[Šifra motora]]),"")</f>
        <v/>
      </c>
      <c r="U85" s="50">
        <f>SUMIFS(Upis_stavki!K:K,Upis_stavki!H:H,Stanje[[#This Row],[Šifra motora]],Upis_stavki!J:J,"Ulaz")</f>
        <v>0</v>
      </c>
      <c r="V85" s="25">
        <f>SUMIFS(Upis_stavki!K:K,Upis_stavki!H:H,Stanje[[#This Row],[Šifra motora]],Upis_stavki!J:J,"Montirano")</f>
        <v>0</v>
      </c>
      <c r="W85" s="25">
        <f>SUMIFS(Upis_stavki!K:K,Upis_stavki!H:H,Stanje[[#This Row],[Šifra motora]],Upis_stavki!J:J,"Prodano")</f>
        <v>0</v>
      </c>
      <c r="X85" s="50" t="str">
        <f>IFERROR(VLOOKUP(Stanje[[#This Row],[Šifra motora]],baza_motora[],3,FALSE),"")</f>
        <v/>
      </c>
      <c r="Y85" s="50" t="str">
        <f>IFERROR(Stanje[[#This Row],[Početan broj motora]]-Stanje[[#This Row],[Broj montiranih motora]]+Stanje[[#This Row],[Broj ulaza motora]],"")</f>
        <v/>
      </c>
      <c r="Z85" s="25" t="str">
        <f>IFERROR(Stanje[[#This Row],[Početan broj motora]]-Stanje[[#This Row],[Broj prodanih motora]]-Stanje[[#This Row],[Broj montiranih motora]]+Stanje[[#This Row],[Broj ulaza motora]],"")</f>
        <v/>
      </c>
    </row>
    <row r="86" spans="1:26" x14ac:dyDescent="0.35">
      <c r="A86" s="51">
        <v>44688</v>
      </c>
      <c r="B86" s="25" t="str">
        <f>IFERROR(IF(ISBLANK(Ulaz_izlaz[[#This Row],[Šifra proizvoda vrata]]),"",Ulaz_izlaz[[#This Row],[Šifra proizvoda vrata]]),"")</f>
        <v/>
      </c>
      <c r="C86" s="25" t="str">
        <f>IFERROR(VLOOKUP(Stanje[[#This Row],[Šifra Vrata]],Vrata[],2,FALSE),"")</f>
        <v/>
      </c>
      <c r="D86" s="25" t="str">
        <f>IFERROR(VLOOKUP(Stanje[[#This Row],[Šifra Vrata]],Vrata[],3,FALSE),"")</f>
        <v/>
      </c>
      <c r="E86" s="25">
        <f>SUMIFS(Upis_stavki!M:M,Upis_stavki!B:B,Stanje[[#This Row],[Šifra Vrata]],Upis_stavki!J:J,"Ulaz")</f>
        <v>0</v>
      </c>
      <c r="F86" s="50">
        <f>SUMIFS(Upis_stavki!M:M,Upis_stavki!B:B,Stanje[[#This Row],[Šifra Vrata]],Upis_stavki!J:J,"Montirano")</f>
        <v>0</v>
      </c>
      <c r="G86" s="50">
        <f>SUMIFS(Upis_stavki!M:M,Upis_stavki!B:B,Stanje[[#This Row],[Šifra Vrata]],Upis_stavki!J:J,"Prodano")</f>
        <v>0</v>
      </c>
      <c r="H86" s="25" t="str">
        <f>IFERROR(VLOOKUP(Stanje[[#This Row],[Šifra Vrata]],Vrata[],4,FALSE),"")</f>
        <v/>
      </c>
      <c r="I86" s="25" t="str">
        <f>IFERROR(Stanje[[#This Row],[Početan broj vrata]]-Stanje[[#This Row],[Broj montiranih Vrata]]+Stanje[[#This Row],[Broj ulaza Vrata]],"")</f>
        <v/>
      </c>
      <c r="J86" s="25" t="str">
        <f>IFERROR(Stanje[[#This Row],[Početan broj vrata]]-Stanje[[#This Row],[Broj prodanih Vrata]]-Stanje[[#This Row],[Broj montiranih Vrata]]+Stanje[[#This Row],[Broj ulaza Vrata]],"")</f>
        <v/>
      </c>
      <c r="K86" s="45"/>
      <c r="L86" s="50" t="str">
        <f>IFERROR(IF(ISBLANK(Ulaz_izlaz[[#This Row],[Šifra vodilice]]),"",Ulaz_izlaz[[#This Row],[Šifra vodilice]]),"")</f>
        <v/>
      </c>
      <c r="M86" s="50">
        <f>SUMIFS(Upis_stavki!L:L,Upis_stavki!F:F,Stanje[[#This Row],[Šifra vodilica]],Upis_stavki!J:J,"Ulaz")</f>
        <v>0</v>
      </c>
      <c r="N86" s="50">
        <f>SUMIFS(Upis_stavki!L:L,Upis_stavki!F:F,Stanje[[#This Row],[Šifra vodilica]],Upis_stavki!J:J,"Montirano")</f>
        <v>0</v>
      </c>
      <c r="O86" s="25">
        <f>SUMIFS(Upis_stavki!L:L,Upis_stavki!F:F,Stanje[[#This Row],[Šifra vodilica]],Upis_stavki!J:J,"Prodano")</f>
        <v>0</v>
      </c>
      <c r="P86" s="25" t="str">
        <f>IFERROR(VLOOKUP(Stanje[[#This Row],[Šifra vodilica]],baza_vodilica[],3,FALSE),"")</f>
        <v/>
      </c>
      <c r="Q86" s="25" t="str">
        <f>IFERROR(Stanje[[#This Row],[Početan broj vodilica]]-Stanje[[#This Row],[Broj montiranih vodilica]]+Stanje[[#This Row],[Broj ulaza vodilica]],"")</f>
        <v/>
      </c>
      <c r="R86" s="25" t="str">
        <f>IFERROR(Stanje[[#This Row],[Početan broj vodilica]]-Stanje[[#This Row],[Broj prodanih vodilica]]-Stanje[[#This Row],[Broj montiranih vodilica]]+Stanje[[#This Row],[Broj ulaza vodilica]],"")</f>
        <v/>
      </c>
      <c r="S86" s="45"/>
      <c r="T86" s="25" t="str">
        <f>IFERROR(IF(ISBLANK(Ulaz_izlaz[[#This Row],[Šifra motora]]),"",Ulaz_izlaz[[#This Row],[Šifra motora]]),"")</f>
        <v/>
      </c>
      <c r="U86" s="50">
        <f>SUMIFS(Upis_stavki!K:K,Upis_stavki!H:H,Stanje[[#This Row],[Šifra motora]],Upis_stavki!J:J,"Ulaz")</f>
        <v>0</v>
      </c>
      <c r="V86" s="25">
        <f>SUMIFS(Upis_stavki!K:K,Upis_stavki!H:H,Stanje[[#This Row],[Šifra motora]],Upis_stavki!J:J,"Montirano")</f>
        <v>0</v>
      </c>
      <c r="W86" s="25">
        <f>SUMIFS(Upis_stavki!K:K,Upis_stavki!H:H,Stanje[[#This Row],[Šifra motora]],Upis_stavki!J:J,"Prodano")</f>
        <v>0</v>
      </c>
      <c r="X86" s="50" t="str">
        <f>IFERROR(VLOOKUP(Stanje[[#This Row],[Šifra motora]],baza_motora[],3,FALSE),"")</f>
        <v/>
      </c>
      <c r="Y86" s="50" t="str">
        <f>IFERROR(Stanje[[#This Row],[Početan broj motora]]-Stanje[[#This Row],[Broj montiranih motora]]+Stanje[[#This Row],[Broj ulaza motora]],"")</f>
        <v/>
      </c>
      <c r="Z86" s="25" t="str">
        <f>IFERROR(Stanje[[#This Row],[Početan broj motora]]-Stanje[[#This Row],[Broj prodanih motora]]-Stanje[[#This Row],[Broj montiranih motora]]+Stanje[[#This Row],[Broj ulaza motora]],"")</f>
        <v/>
      </c>
    </row>
    <row r="87" spans="1:26" x14ac:dyDescent="0.35">
      <c r="A87" s="51">
        <v>44689</v>
      </c>
      <c r="B87" s="25" t="str">
        <f>IFERROR(IF(ISBLANK(Ulaz_izlaz[[#This Row],[Šifra proizvoda vrata]]),"",Ulaz_izlaz[[#This Row],[Šifra proizvoda vrata]]),"")</f>
        <v/>
      </c>
      <c r="C87" s="25" t="str">
        <f>IFERROR(VLOOKUP(Stanje[[#This Row],[Šifra Vrata]],Vrata[],2,FALSE),"")</f>
        <v/>
      </c>
      <c r="D87" s="25" t="str">
        <f>IFERROR(VLOOKUP(Stanje[[#This Row],[Šifra Vrata]],Vrata[],3,FALSE),"")</f>
        <v/>
      </c>
      <c r="E87" s="25">
        <f>SUMIFS(Upis_stavki!M:M,Upis_stavki!B:B,Stanje[[#This Row],[Šifra Vrata]],Upis_stavki!J:J,"Ulaz")</f>
        <v>0</v>
      </c>
      <c r="F87" s="50">
        <f>SUMIFS(Upis_stavki!M:M,Upis_stavki!B:B,Stanje[[#This Row],[Šifra Vrata]],Upis_stavki!J:J,"Montirano")</f>
        <v>0</v>
      </c>
      <c r="G87" s="50">
        <f>SUMIFS(Upis_stavki!M:M,Upis_stavki!B:B,Stanje[[#This Row],[Šifra Vrata]],Upis_stavki!J:J,"Prodano")</f>
        <v>0</v>
      </c>
      <c r="H87" s="25" t="str">
        <f>IFERROR(VLOOKUP(Stanje[[#This Row],[Šifra Vrata]],Vrata[],4,FALSE),"")</f>
        <v/>
      </c>
      <c r="I87" s="25" t="str">
        <f>IFERROR(Stanje[[#This Row],[Početan broj vrata]]-Stanje[[#This Row],[Broj montiranih Vrata]]+Stanje[[#This Row],[Broj ulaza Vrata]],"")</f>
        <v/>
      </c>
      <c r="J87" s="25" t="str">
        <f>IFERROR(Stanje[[#This Row],[Početan broj vrata]]-Stanje[[#This Row],[Broj prodanih Vrata]]-Stanje[[#This Row],[Broj montiranih Vrata]]+Stanje[[#This Row],[Broj ulaza Vrata]],"")</f>
        <v/>
      </c>
      <c r="K87" s="45"/>
      <c r="L87" s="50" t="str">
        <f>IFERROR(IF(ISBLANK(Ulaz_izlaz[[#This Row],[Šifra vodilice]]),"",Ulaz_izlaz[[#This Row],[Šifra vodilice]]),"")</f>
        <v/>
      </c>
      <c r="M87" s="50">
        <f>SUMIFS(Upis_stavki!L:L,Upis_stavki!F:F,Stanje[[#This Row],[Šifra vodilica]],Upis_stavki!J:J,"Ulaz")</f>
        <v>0</v>
      </c>
      <c r="N87" s="50">
        <f>SUMIFS(Upis_stavki!L:L,Upis_stavki!F:F,Stanje[[#This Row],[Šifra vodilica]],Upis_stavki!J:J,"Montirano")</f>
        <v>0</v>
      </c>
      <c r="O87" s="25">
        <f>SUMIFS(Upis_stavki!L:L,Upis_stavki!F:F,Stanje[[#This Row],[Šifra vodilica]],Upis_stavki!J:J,"Prodano")</f>
        <v>0</v>
      </c>
      <c r="P87" s="25" t="str">
        <f>IFERROR(VLOOKUP(Stanje[[#This Row],[Šifra vodilica]],baza_vodilica[],3,FALSE),"")</f>
        <v/>
      </c>
      <c r="Q87" s="25" t="str">
        <f>IFERROR(Stanje[[#This Row],[Početan broj vodilica]]-Stanje[[#This Row],[Broj montiranih vodilica]]+Stanje[[#This Row],[Broj ulaza vodilica]],"")</f>
        <v/>
      </c>
      <c r="R87" s="25" t="str">
        <f>IFERROR(Stanje[[#This Row],[Početan broj vodilica]]-Stanje[[#This Row],[Broj prodanih vodilica]]-Stanje[[#This Row],[Broj montiranih vodilica]]+Stanje[[#This Row],[Broj ulaza vodilica]],"")</f>
        <v/>
      </c>
      <c r="S87" s="45"/>
      <c r="T87" s="25" t="str">
        <f>IFERROR(IF(ISBLANK(Ulaz_izlaz[[#This Row],[Šifra motora]]),"",Ulaz_izlaz[[#This Row],[Šifra motora]]),"")</f>
        <v/>
      </c>
      <c r="U87" s="50">
        <f>SUMIFS(Upis_stavki!K:K,Upis_stavki!H:H,Stanje[[#This Row],[Šifra motora]],Upis_stavki!J:J,"Ulaz")</f>
        <v>0</v>
      </c>
      <c r="V87" s="25">
        <f>SUMIFS(Upis_stavki!K:K,Upis_stavki!H:H,Stanje[[#This Row],[Šifra motora]],Upis_stavki!J:J,"Montirano")</f>
        <v>0</v>
      </c>
      <c r="W87" s="25">
        <f>SUMIFS(Upis_stavki!K:K,Upis_stavki!H:H,Stanje[[#This Row],[Šifra motora]],Upis_stavki!J:J,"Prodano")</f>
        <v>0</v>
      </c>
      <c r="X87" s="50" t="str">
        <f>IFERROR(VLOOKUP(Stanje[[#This Row],[Šifra motora]],baza_motora[],3,FALSE),"")</f>
        <v/>
      </c>
      <c r="Y87" s="50" t="str">
        <f>IFERROR(Stanje[[#This Row],[Početan broj motora]]-Stanje[[#This Row],[Broj montiranih motora]]+Stanje[[#This Row],[Broj ulaza motora]],"")</f>
        <v/>
      </c>
      <c r="Z87" s="25" t="str">
        <f>IFERROR(Stanje[[#This Row],[Početan broj motora]]-Stanje[[#This Row],[Broj prodanih motora]]-Stanje[[#This Row],[Broj montiranih motora]]+Stanje[[#This Row],[Broj ulaza motora]],"")</f>
        <v/>
      </c>
    </row>
    <row r="88" spans="1:26" x14ac:dyDescent="0.35">
      <c r="A88" s="51">
        <v>44690</v>
      </c>
      <c r="B88" s="25" t="str">
        <f>IFERROR(IF(ISBLANK(Ulaz_izlaz[[#This Row],[Šifra proizvoda vrata]]),"",Ulaz_izlaz[[#This Row],[Šifra proizvoda vrata]]),"")</f>
        <v/>
      </c>
      <c r="C88" s="25" t="str">
        <f>IFERROR(VLOOKUP(Stanje[[#This Row],[Šifra Vrata]],Vrata[],2,FALSE),"")</f>
        <v/>
      </c>
      <c r="D88" s="25" t="str">
        <f>IFERROR(VLOOKUP(Stanje[[#This Row],[Šifra Vrata]],Vrata[],3,FALSE),"")</f>
        <v/>
      </c>
      <c r="E88" s="25">
        <f>SUMIFS(Upis_stavki!M:M,Upis_stavki!B:B,Stanje[[#This Row],[Šifra Vrata]],Upis_stavki!J:J,"Ulaz")</f>
        <v>0</v>
      </c>
      <c r="F88" s="50">
        <f>SUMIFS(Upis_stavki!M:M,Upis_stavki!B:B,Stanje[[#This Row],[Šifra Vrata]],Upis_stavki!J:J,"Montirano")</f>
        <v>0</v>
      </c>
      <c r="G88" s="50">
        <f>SUMIFS(Upis_stavki!M:M,Upis_stavki!B:B,Stanje[[#This Row],[Šifra Vrata]],Upis_stavki!J:J,"Prodano")</f>
        <v>0</v>
      </c>
      <c r="H88" s="25" t="str">
        <f>IFERROR(VLOOKUP(Stanje[[#This Row],[Šifra Vrata]],Vrata[],4,FALSE),"")</f>
        <v/>
      </c>
      <c r="I88" s="25" t="str">
        <f>IFERROR(Stanje[[#This Row],[Početan broj vrata]]-Stanje[[#This Row],[Broj montiranih Vrata]]+Stanje[[#This Row],[Broj ulaza Vrata]],"")</f>
        <v/>
      </c>
      <c r="J88" s="25" t="str">
        <f>IFERROR(Stanje[[#This Row],[Početan broj vrata]]-Stanje[[#This Row],[Broj prodanih Vrata]]-Stanje[[#This Row],[Broj montiranih Vrata]]+Stanje[[#This Row],[Broj ulaza Vrata]],"")</f>
        <v/>
      </c>
      <c r="K88" s="45"/>
      <c r="L88" s="50" t="str">
        <f>IFERROR(IF(ISBLANK(Ulaz_izlaz[[#This Row],[Šifra vodilice]]),"",Ulaz_izlaz[[#This Row],[Šifra vodilice]]),"")</f>
        <v/>
      </c>
      <c r="M88" s="50">
        <f>SUMIFS(Upis_stavki!L:L,Upis_stavki!F:F,Stanje[[#This Row],[Šifra vodilica]],Upis_stavki!J:J,"Ulaz")</f>
        <v>0</v>
      </c>
      <c r="N88" s="50">
        <f>SUMIFS(Upis_stavki!L:L,Upis_stavki!F:F,Stanje[[#This Row],[Šifra vodilica]],Upis_stavki!J:J,"Montirano")</f>
        <v>0</v>
      </c>
      <c r="O88" s="25">
        <f>SUMIFS(Upis_stavki!L:L,Upis_stavki!F:F,Stanje[[#This Row],[Šifra vodilica]],Upis_stavki!J:J,"Prodano")</f>
        <v>0</v>
      </c>
      <c r="P88" s="25" t="str">
        <f>IFERROR(VLOOKUP(Stanje[[#This Row],[Šifra vodilica]],baza_vodilica[],3,FALSE),"")</f>
        <v/>
      </c>
      <c r="Q88" s="25" t="str">
        <f>IFERROR(Stanje[[#This Row],[Početan broj vodilica]]-Stanje[[#This Row],[Broj montiranih vodilica]]+Stanje[[#This Row],[Broj ulaza vodilica]],"")</f>
        <v/>
      </c>
      <c r="R88" s="25" t="str">
        <f>IFERROR(Stanje[[#This Row],[Početan broj vodilica]]-Stanje[[#This Row],[Broj prodanih vodilica]]-Stanje[[#This Row],[Broj montiranih vodilica]]+Stanje[[#This Row],[Broj ulaza vodilica]],"")</f>
        <v/>
      </c>
      <c r="S88" s="45"/>
      <c r="T88" s="25" t="str">
        <f>IFERROR(IF(ISBLANK(Ulaz_izlaz[[#This Row],[Šifra motora]]),"",Ulaz_izlaz[[#This Row],[Šifra motora]]),"")</f>
        <v/>
      </c>
      <c r="U88" s="50">
        <f>SUMIFS(Upis_stavki!K:K,Upis_stavki!H:H,Stanje[[#This Row],[Šifra motora]],Upis_stavki!J:J,"Ulaz")</f>
        <v>0</v>
      </c>
      <c r="V88" s="25">
        <f>SUMIFS(Upis_stavki!K:K,Upis_stavki!H:H,Stanje[[#This Row],[Šifra motora]],Upis_stavki!J:J,"Montirano")</f>
        <v>0</v>
      </c>
      <c r="W88" s="25">
        <f>SUMIFS(Upis_stavki!K:K,Upis_stavki!H:H,Stanje[[#This Row],[Šifra motora]],Upis_stavki!J:J,"Prodano")</f>
        <v>0</v>
      </c>
      <c r="X88" s="50" t="str">
        <f>IFERROR(VLOOKUP(Stanje[[#This Row],[Šifra motora]],baza_motora[],3,FALSE),"")</f>
        <v/>
      </c>
      <c r="Y88" s="50" t="str">
        <f>IFERROR(Stanje[[#This Row],[Početan broj motora]]-Stanje[[#This Row],[Broj montiranih motora]]+Stanje[[#This Row],[Broj ulaza motora]],"")</f>
        <v/>
      </c>
      <c r="Z88" s="25" t="str">
        <f>IFERROR(Stanje[[#This Row],[Početan broj motora]]-Stanje[[#This Row],[Broj prodanih motora]]-Stanje[[#This Row],[Broj montiranih motora]]+Stanje[[#This Row],[Broj ulaza motora]],"")</f>
        <v/>
      </c>
    </row>
    <row r="89" spans="1:26" x14ac:dyDescent="0.35">
      <c r="A89" s="51">
        <v>44691</v>
      </c>
      <c r="B89" s="25" t="str">
        <f>IFERROR(IF(ISBLANK(Ulaz_izlaz[[#This Row],[Šifra proizvoda vrata]]),"",Ulaz_izlaz[[#This Row],[Šifra proizvoda vrata]]),"")</f>
        <v/>
      </c>
      <c r="C89" s="25" t="str">
        <f>IFERROR(VLOOKUP(Stanje[[#This Row],[Šifra Vrata]],Vrata[],2,FALSE),"")</f>
        <v/>
      </c>
      <c r="D89" s="25" t="str">
        <f>IFERROR(VLOOKUP(Stanje[[#This Row],[Šifra Vrata]],Vrata[],3,FALSE),"")</f>
        <v/>
      </c>
      <c r="E89" s="25">
        <f>SUMIFS(Upis_stavki!M:M,Upis_stavki!B:B,Stanje[[#This Row],[Šifra Vrata]],Upis_stavki!J:J,"Ulaz")</f>
        <v>0</v>
      </c>
      <c r="F89" s="50">
        <f>SUMIFS(Upis_stavki!M:M,Upis_stavki!B:B,Stanje[[#This Row],[Šifra Vrata]],Upis_stavki!J:J,"Montirano")</f>
        <v>0</v>
      </c>
      <c r="G89" s="50">
        <f>SUMIFS(Upis_stavki!M:M,Upis_stavki!B:B,Stanje[[#This Row],[Šifra Vrata]],Upis_stavki!J:J,"Prodano")</f>
        <v>0</v>
      </c>
      <c r="H89" s="25" t="str">
        <f>IFERROR(VLOOKUP(Stanje[[#This Row],[Šifra Vrata]],Vrata[],4,FALSE),"")</f>
        <v/>
      </c>
      <c r="I89" s="25" t="str">
        <f>IFERROR(Stanje[[#This Row],[Početan broj vrata]]-Stanje[[#This Row],[Broj montiranih Vrata]]+Stanje[[#This Row],[Broj ulaza Vrata]],"")</f>
        <v/>
      </c>
      <c r="J89" s="25" t="str">
        <f>IFERROR(Stanje[[#This Row],[Početan broj vrata]]-Stanje[[#This Row],[Broj prodanih Vrata]]-Stanje[[#This Row],[Broj montiranih Vrata]]+Stanje[[#This Row],[Broj ulaza Vrata]],"")</f>
        <v/>
      </c>
      <c r="K89" s="45"/>
      <c r="L89" s="50" t="str">
        <f>IFERROR(IF(ISBLANK(Ulaz_izlaz[[#This Row],[Šifra vodilice]]),"",Ulaz_izlaz[[#This Row],[Šifra vodilice]]),"")</f>
        <v/>
      </c>
      <c r="M89" s="50">
        <f>SUMIFS(Upis_stavki!L:L,Upis_stavki!F:F,Stanje[[#This Row],[Šifra vodilica]],Upis_stavki!J:J,"Ulaz")</f>
        <v>0</v>
      </c>
      <c r="N89" s="50">
        <f>SUMIFS(Upis_stavki!L:L,Upis_stavki!F:F,Stanje[[#This Row],[Šifra vodilica]],Upis_stavki!J:J,"Montirano")</f>
        <v>0</v>
      </c>
      <c r="O89" s="25">
        <f>SUMIFS(Upis_stavki!L:L,Upis_stavki!F:F,Stanje[[#This Row],[Šifra vodilica]],Upis_stavki!J:J,"Prodano")</f>
        <v>0</v>
      </c>
      <c r="P89" s="25" t="str">
        <f>IFERROR(VLOOKUP(Stanje[[#This Row],[Šifra vodilica]],baza_vodilica[],3,FALSE),"")</f>
        <v/>
      </c>
      <c r="Q89" s="25" t="str">
        <f>IFERROR(Stanje[[#This Row],[Početan broj vodilica]]-Stanje[[#This Row],[Broj montiranih vodilica]]+Stanje[[#This Row],[Broj ulaza vodilica]],"")</f>
        <v/>
      </c>
      <c r="R89" s="25" t="str">
        <f>IFERROR(Stanje[[#This Row],[Početan broj vodilica]]-Stanje[[#This Row],[Broj prodanih vodilica]]-Stanje[[#This Row],[Broj montiranih vodilica]]+Stanje[[#This Row],[Broj ulaza vodilica]],"")</f>
        <v/>
      </c>
      <c r="S89" s="45"/>
      <c r="T89" s="25" t="str">
        <f>IFERROR(IF(ISBLANK(Ulaz_izlaz[[#This Row],[Šifra motora]]),"",Ulaz_izlaz[[#This Row],[Šifra motora]]),"")</f>
        <v/>
      </c>
      <c r="U89" s="50">
        <f>SUMIFS(Upis_stavki!K:K,Upis_stavki!H:H,Stanje[[#This Row],[Šifra motora]],Upis_stavki!J:J,"Ulaz")</f>
        <v>0</v>
      </c>
      <c r="V89" s="25">
        <f>SUMIFS(Upis_stavki!K:K,Upis_stavki!H:H,Stanje[[#This Row],[Šifra motora]],Upis_stavki!J:J,"Montirano")</f>
        <v>0</v>
      </c>
      <c r="W89" s="25">
        <f>SUMIFS(Upis_stavki!K:K,Upis_stavki!H:H,Stanje[[#This Row],[Šifra motora]],Upis_stavki!J:J,"Prodano")</f>
        <v>0</v>
      </c>
      <c r="X89" s="50" t="str">
        <f>IFERROR(VLOOKUP(Stanje[[#This Row],[Šifra motora]],baza_motora[],3,FALSE),"")</f>
        <v/>
      </c>
      <c r="Y89" s="50" t="str">
        <f>IFERROR(Stanje[[#This Row],[Početan broj motora]]-Stanje[[#This Row],[Broj montiranih motora]]+Stanje[[#This Row],[Broj ulaza motora]],"")</f>
        <v/>
      </c>
      <c r="Z89" s="25" t="str">
        <f>IFERROR(Stanje[[#This Row],[Početan broj motora]]-Stanje[[#This Row],[Broj prodanih motora]]-Stanje[[#This Row],[Broj montiranih motora]]+Stanje[[#This Row],[Broj ulaza motora]],"")</f>
        <v/>
      </c>
    </row>
    <row r="90" spans="1:26" x14ac:dyDescent="0.35">
      <c r="A90" s="51">
        <v>44692</v>
      </c>
      <c r="B90" s="25" t="str">
        <f>IFERROR(IF(ISBLANK(Ulaz_izlaz[[#This Row],[Šifra proizvoda vrata]]),"",Ulaz_izlaz[[#This Row],[Šifra proizvoda vrata]]),"")</f>
        <v/>
      </c>
      <c r="C90" s="25" t="str">
        <f>IFERROR(VLOOKUP(Stanje[[#This Row],[Šifra Vrata]],Vrata[],2,FALSE),"")</f>
        <v/>
      </c>
      <c r="D90" s="25" t="str">
        <f>IFERROR(VLOOKUP(Stanje[[#This Row],[Šifra Vrata]],Vrata[],3,FALSE),"")</f>
        <v/>
      </c>
      <c r="E90" s="25">
        <f>SUMIFS(Upis_stavki!M:M,Upis_stavki!B:B,Stanje[[#This Row],[Šifra Vrata]],Upis_stavki!J:J,"Ulaz")</f>
        <v>0</v>
      </c>
      <c r="F90" s="50">
        <f>SUMIFS(Upis_stavki!M:M,Upis_stavki!B:B,Stanje[[#This Row],[Šifra Vrata]],Upis_stavki!J:J,"Montirano")</f>
        <v>0</v>
      </c>
      <c r="G90" s="50">
        <f>SUMIFS(Upis_stavki!M:M,Upis_stavki!B:B,Stanje[[#This Row],[Šifra Vrata]],Upis_stavki!J:J,"Prodano")</f>
        <v>0</v>
      </c>
      <c r="H90" s="25" t="str">
        <f>IFERROR(VLOOKUP(Stanje[[#This Row],[Šifra Vrata]],Vrata[],4,FALSE),"")</f>
        <v/>
      </c>
      <c r="I90" s="25" t="str">
        <f>IFERROR(Stanje[[#This Row],[Početan broj vrata]]-Stanje[[#This Row],[Broj montiranih Vrata]]+Stanje[[#This Row],[Broj ulaza Vrata]],"")</f>
        <v/>
      </c>
      <c r="J90" s="25" t="str">
        <f>IFERROR(Stanje[[#This Row],[Početan broj vrata]]-Stanje[[#This Row],[Broj prodanih Vrata]]-Stanje[[#This Row],[Broj montiranih Vrata]]+Stanje[[#This Row],[Broj ulaza Vrata]],"")</f>
        <v/>
      </c>
      <c r="K90" s="45"/>
      <c r="L90" s="50" t="str">
        <f>IFERROR(IF(ISBLANK(Ulaz_izlaz[[#This Row],[Šifra vodilice]]),"",Ulaz_izlaz[[#This Row],[Šifra vodilice]]),"")</f>
        <v/>
      </c>
      <c r="M90" s="50">
        <f>SUMIFS(Upis_stavki!L:L,Upis_stavki!F:F,Stanje[[#This Row],[Šifra vodilica]],Upis_stavki!J:J,"Ulaz")</f>
        <v>0</v>
      </c>
      <c r="N90" s="50">
        <f>SUMIFS(Upis_stavki!L:L,Upis_stavki!F:F,Stanje[[#This Row],[Šifra vodilica]],Upis_stavki!J:J,"Montirano")</f>
        <v>0</v>
      </c>
      <c r="O90" s="25">
        <f>SUMIFS(Upis_stavki!L:L,Upis_stavki!F:F,Stanje[[#This Row],[Šifra vodilica]],Upis_stavki!J:J,"Prodano")</f>
        <v>0</v>
      </c>
      <c r="P90" s="25" t="str">
        <f>IFERROR(VLOOKUP(Stanje[[#This Row],[Šifra vodilica]],baza_vodilica[],3,FALSE),"")</f>
        <v/>
      </c>
      <c r="Q90" s="25" t="str">
        <f>IFERROR(Stanje[[#This Row],[Početan broj vodilica]]-Stanje[[#This Row],[Broj montiranih vodilica]]+Stanje[[#This Row],[Broj ulaza vodilica]],"")</f>
        <v/>
      </c>
      <c r="R90" s="25" t="str">
        <f>IFERROR(Stanje[[#This Row],[Početan broj vodilica]]-Stanje[[#This Row],[Broj prodanih vodilica]]-Stanje[[#This Row],[Broj montiranih vodilica]]+Stanje[[#This Row],[Broj ulaza vodilica]],"")</f>
        <v/>
      </c>
      <c r="S90" s="45"/>
      <c r="T90" s="25" t="str">
        <f>IFERROR(IF(ISBLANK(Ulaz_izlaz[[#This Row],[Šifra motora]]),"",Ulaz_izlaz[[#This Row],[Šifra motora]]),"")</f>
        <v/>
      </c>
      <c r="U90" s="50">
        <f>SUMIFS(Upis_stavki!K:K,Upis_stavki!H:H,Stanje[[#This Row],[Šifra motora]],Upis_stavki!J:J,"Ulaz")</f>
        <v>0</v>
      </c>
      <c r="V90" s="25">
        <f>SUMIFS(Upis_stavki!K:K,Upis_stavki!H:H,Stanje[[#This Row],[Šifra motora]],Upis_stavki!J:J,"Montirano")</f>
        <v>0</v>
      </c>
      <c r="W90" s="25">
        <f>SUMIFS(Upis_stavki!K:K,Upis_stavki!H:H,Stanje[[#This Row],[Šifra motora]],Upis_stavki!J:J,"Prodano")</f>
        <v>0</v>
      </c>
      <c r="X90" s="50" t="str">
        <f>IFERROR(VLOOKUP(Stanje[[#This Row],[Šifra motora]],baza_motora[],3,FALSE),"")</f>
        <v/>
      </c>
      <c r="Y90" s="50" t="str">
        <f>IFERROR(Stanje[[#This Row],[Početan broj motora]]-Stanje[[#This Row],[Broj montiranih motora]]+Stanje[[#This Row],[Broj ulaza motora]],"")</f>
        <v/>
      </c>
      <c r="Z90" s="25" t="str">
        <f>IFERROR(Stanje[[#This Row],[Početan broj motora]]-Stanje[[#This Row],[Broj prodanih motora]]-Stanje[[#This Row],[Broj montiranih motora]]+Stanje[[#This Row],[Broj ulaza motora]],"")</f>
        <v/>
      </c>
    </row>
    <row r="91" spans="1:26" x14ac:dyDescent="0.35">
      <c r="A91" s="51">
        <v>44693</v>
      </c>
      <c r="B91" s="25" t="str">
        <f>IFERROR(IF(ISBLANK(Ulaz_izlaz[[#This Row],[Šifra proizvoda vrata]]),"",Ulaz_izlaz[[#This Row],[Šifra proizvoda vrata]]),"")</f>
        <v/>
      </c>
      <c r="C91" s="25" t="str">
        <f>IFERROR(VLOOKUP(Stanje[[#This Row],[Šifra Vrata]],Vrata[],2,FALSE),"")</f>
        <v/>
      </c>
      <c r="D91" s="25" t="str">
        <f>IFERROR(VLOOKUP(Stanje[[#This Row],[Šifra Vrata]],Vrata[],3,FALSE),"")</f>
        <v/>
      </c>
      <c r="E91" s="25">
        <f>SUMIFS(Upis_stavki!M:M,Upis_stavki!B:B,Stanje[[#This Row],[Šifra Vrata]],Upis_stavki!J:J,"Ulaz")</f>
        <v>0</v>
      </c>
      <c r="F91" s="50">
        <f>SUMIFS(Upis_stavki!M:M,Upis_stavki!B:B,Stanje[[#This Row],[Šifra Vrata]],Upis_stavki!J:J,"Montirano")</f>
        <v>0</v>
      </c>
      <c r="G91" s="50">
        <f>SUMIFS(Upis_stavki!M:M,Upis_stavki!B:B,Stanje[[#This Row],[Šifra Vrata]],Upis_stavki!J:J,"Prodano")</f>
        <v>0</v>
      </c>
      <c r="H91" s="25" t="str">
        <f>IFERROR(VLOOKUP(Stanje[[#This Row],[Šifra Vrata]],Vrata[],4,FALSE),"")</f>
        <v/>
      </c>
      <c r="I91" s="25" t="str">
        <f>IFERROR(Stanje[[#This Row],[Početan broj vrata]]-Stanje[[#This Row],[Broj montiranih Vrata]]+Stanje[[#This Row],[Broj ulaza Vrata]],"")</f>
        <v/>
      </c>
      <c r="J91" s="25" t="str">
        <f>IFERROR(Stanje[[#This Row],[Početan broj vrata]]-Stanje[[#This Row],[Broj prodanih Vrata]]-Stanje[[#This Row],[Broj montiranih Vrata]]+Stanje[[#This Row],[Broj ulaza Vrata]],"")</f>
        <v/>
      </c>
      <c r="K91" s="45"/>
      <c r="L91" s="50" t="str">
        <f>IFERROR(IF(ISBLANK(Ulaz_izlaz[[#This Row],[Šifra vodilice]]),"",Ulaz_izlaz[[#This Row],[Šifra vodilice]]),"")</f>
        <v/>
      </c>
      <c r="M91" s="50">
        <f>SUMIFS(Upis_stavki!L:L,Upis_stavki!F:F,Stanje[[#This Row],[Šifra vodilica]],Upis_stavki!J:J,"Ulaz")</f>
        <v>0</v>
      </c>
      <c r="N91" s="50">
        <f>SUMIFS(Upis_stavki!L:L,Upis_stavki!F:F,Stanje[[#This Row],[Šifra vodilica]],Upis_stavki!J:J,"Montirano")</f>
        <v>0</v>
      </c>
      <c r="O91" s="25">
        <f>SUMIFS(Upis_stavki!L:L,Upis_stavki!F:F,Stanje[[#This Row],[Šifra vodilica]],Upis_stavki!J:J,"Prodano")</f>
        <v>0</v>
      </c>
      <c r="P91" s="25" t="str">
        <f>IFERROR(VLOOKUP(Stanje[[#This Row],[Šifra vodilica]],baza_vodilica[],3,FALSE),"")</f>
        <v/>
      </c>
      <c r="Q91" s="25" t="str">
        <f>IFERROR(Stanje[[#This Row],[Početan broj vodilica]]-Stanje[[#This Row],[Broj montiranih vodilica]]+Stanje[[#This Row],[Broj ulaza vodilica]],"")</f>
        <v/>
      </c>
      <c r="R91" s="25" t="str">
        <f>IFERROR(Stanje[[#This Row],[Početan broj vodilica]]-Stanje[[#This Row],[Broj prodanih vodilica]]-Stanje[[#This Row],[Broj montiranih vodilica]]+Stanje[[#This Row],[Broj ulaza vodilica]],"")</f>
        <v/>
      </c>
      <c r="S91" s="45"/>
      <c r="T91" s="25" t="str">
        <f>IFERROR(IF(ISBLANK(Ulaz_izlaz[[#This Row],[Šifra motora]]),"",Ulaz_izlaz[[#This Row],[Šifra motora]]),"")</f>
        <v/>
      </c>
      <c r="U91" s="50">
        <f>SUMIFS(Upis_stavki!K:K,Upis_stavki!H:H,Stanje[[#This Row],[Šifra motora]],Upis_stavki!J:J,"Ulaz")</f>
        <v>0</v>
      </c>
      <c r="V91" s="25">
        <f>SUMIFS(Upis_stavki!K:K,Upis_stavki!H:H,Stanje[[#This Row],[Šifra motora]],Upis_stavki!J:J,"Montirano")</f>
        <v>0</v>
      </c>
      <c r="W91" s="25">
        <f>SUMIFS(Upis_stavki!K:K,Upis_stavki!H:H,Stanje[[#This Row],[Šifra motora]],Upis_stavki!J:J,"Prodano")</f>
        <v>0</v>
      </c>
      <c r="X91" s="50" t="str">
        <f>IFERROR(VLOOKUP(Stanje[[#This Row],[Šifra motora]],baza_motora[],3,FALSE),"")</f>
        <v/>
      </c>
      <c r="Y91" s="50" t="str">
        <f>IFERROR(Stanje[[#This Row],[Početan broj motora]]-Stanje[[#This Row],[Broj montiranih motora]]+Stanje[[#This Row],[Broj ulaza motora]],"")</f>
        <v/>
      </c>
      <c r="Z91" s="25" t="str">
        <f>IFERROR(Stanje[[#This Row],[Početan broj motora]]-Stanje[[#This Row],[Broj prodanih motora]]-Stanje[[#This Row],[Broj montiranih motora]]+Stanje[[#This Row],[Broj ulaza motora]],"")</f>
        <v/>
      </c>
    </row>
    <row r="92" spans="1:26" x14ac:dyDescent="0.35">
      <c r="A92" s="51">
        <v>44694</v>
      </c>
      <c r="B92" s="25" t="str">
        <f>IFERROR(IF(ISBLANK(Ulaz_izlaz[[#This Row],[Šifra proizvoda vrata]]),"",Ulaz_izlaz[[#This Row],[Šifra proizvoda vrata]]),"")</f>
        <v/>
      </c>
      <c r="C92" s="25" t="str">
        <f>IFERROR(VLOOKUP(Stanje[[#This Row],[Šifra Vrata]],Vrata[],2,FALSE),"")</f>
        <v/>
      </c>
      <c r="D92" s="25" t="str">
        <f>IFERROR(VLOOKUP(Stanje[[#This Row],[Šifra Vrata]],Vrata[],3,FALSE),"")</f>
        <v/>
      </c>
      <c r="E92" s="25">
        <f>SUMIFS(Upis_stavki!M:M,Upis_stavki!B:B,Stanje[[#This Row],[Šifra Vrata]],Upis_stavki!J:J,"Ulaz")</f>
        <v>0</v>
      </c>
      <c r="F92" s="50">
        <f>SUMIFS(Upis_stavki!M:M,Upis_stavki!B:B,Stanje[[#This Row],[Šifra Vrata]],Upis_stavki!J:J,"Montirano")</f>
        <v>0</v>
      </c>
      <c r="G92" s="50">
        <f>SUMIFS(Upis_stavki!M:M,Upis_stavki!B:B,Stanje[[#This Row],[Šifra Vrata]],Upis_stavki!J:J,"Prodano")</f>
        <v>0</v>
      </c>
      <c r="H92" s="25" t="str">
        <f>IFERROR(VLOOKUP(Stanje[[#This Row],[Šifra Vrata]],Vrata[],4,FALSE),"")</f>
        <v/>
      </c>
      <c r="I92" s="25" t="str">
        <f>IFERROR(Stanje[[#This Row],[Početan broj vrata]]-Stanje[[#This Row],[Broj montiranih Vrata]]+Stanje[[#This Row],[Broj ulaza Vrata]],"")</f>
        <v/>
      </c>
      <c r="J92" s="25" t="str">
        <f>IFERROR(Stanje[[#This Row],[Početan broj vrata]]-Stanje[[#This Row],[Broj prodanih Vrata]]-Stanje[[#This Row],[Broj montiranih Vrata]]+Stanje[[#This Row],[Broj ulaza Vrata]],"")</f>
        <v/>
      </c>
      <c r="K92" s="45"/>
      <c r="L92" s="50" t="str">
        <f>IFERROR(IF(ISBLANK(Ulaz_izlaz[[#This Row],[Šifra vodilice]]),"",Ulaz_izlaz[[#This Row],[Šifra vodilice]]),"")</f>
        <v/>
      </c>
      <c r="M92" s="50">
        <f>SUMIFS(Upis_stavki!L:L,Upis_stavki!F:F,Stanje[[#This Row],[Šifra vodilica]],Upis_stavki!J:J,"Ulaz")</f>
        <v>0</v>
      </c>
      <c r="N92" s="50">
        <f>SUMIFS(Upis_stavki!L:L,Upis_stavki!F:F,Stanje[[#This Row],[Šifra vodilica]],Upis_stavki!J:J,"Montirano")</f>
        <v>0</v>
      </c>
      <c r="O92" s="25">
        <f>SUMIFS(Upis_stavki!L:L,Upis_stavki!F:F,Stanje[[#This Row],[Šifra vodilica]],Upis_stavki!J:J,"Prodano")</f>
        <v>0</v>
      </c>
      <c r="P92" s="25" t="str">
        <f>IFERROR(VLOOKUP(Stanje[[#This Row],[Šifra vodilica]],baza_vodilica[],3,FALSE),"")</f>
        <v/>
      </c>
      <c r="Q92" s="25" t="str">
        <f>IFERROR(Stanje[[#This Row],[Početan broj vodilica]]-Stanje[[#This Row],[Broj montiranih vodilica]]+Stanje[[#This Row],[Broj ulaza vodilica]],"")</f>
        <v/>
      </c>
      <c r="R92" s="25" t="str">
        <f>IFERROR(Stanje[[#This Row],[Početan broj vodilica]]-Stanje[[#This Row],[Broj prodanih vodilica]]-Stanje[[#This Row],[Broj montiranih vodilica]]+Stanje[[#This Row],[Broj ulaza vodilica]],"")</f>
        <v/>
      </c>
      <c r="S92" s="45"/>
      <c r="T92" s="25" t="str">
        <f>IFERROR(IF(ISBLANK(Ulaz_izlaz[[#This Row],[Šifra motora]]),"",Ulaz_izlaz[[#This Row],[Šifra motora]]),"")</f>
        <v/>
      </c>
      <c r="U92" s="50">
        <f>SUMIFS(Upis_stavki!K:K,Upis_stavki!H:H,Stanje[[#This Row],[Šifra motora]],Upis_stavki!J:J,"Ulaz")</f>
        <v>0</v>
      </c>
      <c r="V92" s="25">
        <f>SUMIFS(Upis_stavki!K:K,Upis_stavki!H:H,Stanje[[#This Row],[Šifra motora]],Upis_stavki!J:J,"Montirano")</f>
        <v>0</v>
      </c>
      <c r="W92" s="25">
        <f>SUMIFS(Upis_stavki!K:K,Upis_stavki!H:H,Stanje[[#This Row],[Šifra motora]],Upis_stavki!J:J,"Prodano")</f>
        <v>0</v>
      </c>
      <c r="X92" s="50" t="str">
        <f>IFERROR(VLOOKUP(Stanje[[#This Row],[Šifra motora]],baza_motora[],3,FALSE),"")</f>
        <v/>
      </c>
      <c r="Y92" s="50" t="str">
        <f>IFERROR(Stanje[[#This Row],[Početan broj motora]]-Stanje[[#This Row],[Broj montiranih motora]]+Stanje[[#This Row],[Broj ulaza motora]],"")</f>
        <v/>
      </c>
      <c r="Z92" s="25" t="str">
        <f>IFERROR(Stanje[[#This Row],[Početan broj motora]]-Stanje[[#This Row],[Broj prodanih motora]]-Stanje[[#This Row],[Broj montiranih motora]]+Stanje[[#This Row],[Broj ulaza motora]],"")</f>
        <v/>
      </c>
    </row>
    <row r="93" spans="1:26" x14ac:dyDescent="0.35">
      <c r="A93" s="51">
        <v>44695</v>
      </c>
      <c r="B93" s="25" t="str">
        <f>IFERROR(IF(ISBLANK(Ulaz_izlaz[[#This Row],[Šifra proizvoda vrata]]),"",Ulaz_izlaz[[#This Row],[Šifra proizvoda vrata]]),"")</f>
        <v/>
      </c>
      <c r="C93" s="25" t="str">
        <f>IFERROR(VLOOKUP(Stanje[[#This Row],[Šifra Vrata]],Vrata[],2,FALSE),"")</f>
        <v/>
      </c>
      <c r="D93" s="25" t="str">
        <f>IFERROR(VLOOKUP(Stanje[[#This Row],[Šifra Vrata]],Vrata[],3,FALSE),"")</f>
        <v/>
      </c>
      <c r="E93" s="25">
        <f>SUMIFS(Upis_stavki!M:M,Upis_stavki!B:B,Stanje[[#This Row],[Šifra Vrata]],Upis_stavki!J:J,"Ulaz")</f>
        <v>0</v>
      </c>
      <c r="F93" s="50">
        <f>SUMIFS(Upis_stavki!M:M,Upis_stavki!B:B,Stanje[[#This Row],[Šifra Vrata]],Upis_stavki!J:J,"Montirano")</f>
        <v>0</v>
      </c>
      <c r="G93" s="50">
        <f>SUMIFS(Upis_stavki!M:M,Upis_stavki!B:B,Stanje[[#This Row],[Šifra Vrata]],Upis_stavki!J:J,"Prodano")</f>
        <v>0</v>
      </c>
      <c r="H93" s="25" t="str">
        <f>IFERROR(VLOOKUP(Stanje[[#This Row],[Šifra Vrata]],Vrata[],4,FALSE),"")</f>
        <v/>
      </c>
      <c r="I93" s="25" t="str">
        <f>IFERROR(Stanje[[#This Row],[Početan broj vrata]]-Stanje[[#This Row],[Broj montiranih Vrata]]+Stanje[[#This Row],[Broj ulaza Vrata]],"")</f>
        <v/>
      </c>
      <c r="J93" s="25" t="str">
        <f>IFERROR(Stanje[[#This Row],[Početan broj vrata]]-Stanje[[#This Row],[Broj prodanih Vrata]]-Stanje[[#This Row],[Broj montiranih Vrata]]+Stanje[[#This Row],[Broj ulaza Vrata]],"")</f>
        <v/>
      </c>
      <c r="K93" s="45"/>
      <c r="L93" s="50" t="str">
        <f>IFERROR(IF(ISBLANK(Ulaz_izlaz[[#This Row],[Šifra vodilice]]),"",Ulaz_izlaz[[#This Row],[Šifra vodilice]]),"")</f>
        <v/>
      </c>
      <c r="M93" s="50">
        <f>SUMIFS(Upis_stavki!L:L,Upis_stavki!F:F,Stanje[[#This Row],[Šifra vodilica]],Upis_stavki!J:J,"Ulaz")</f>
        <v>0</v>
      </c>
      <c r="N93" s="50">
        <f>SUMIFS(Upis_stavki!L:L,Upis_stavki!F:F,Stanje[[#This Row],[Šifra vodilica]],Upis_stavki!J:J,"Montirano")</f>
        <v>0</v>
      </c>
      <c r="O93" s="25">
        <f>SUMIFS(Upis_stavki!L:L,Upis_stavki!F:F,Stanje[[#This Row],[Šifra vodilica]],Upis_stavki!J:J,"Prodano")</f>
        <v>0</v>
      </c>
      <c r="P93" s="25" t="str">
        <f>IFERROR(VLOOKUP(Stanje[[#This Row],[Šifra vodilica]],baza_vodilica[],3,FALSE),"")</f>
        <v/>
      </c>
      <c r="Q93" s="25" t="str">
        <f>IFERROR(Stanje[[#This Row],[Početan broj vodilica]]-Stanje[[#This Row],[Broj montiranih vodilica]]+Stanje[[#This Row],[Broj ulaza vodilica]],"")</f>
        <v/>
      </c>
      <c r="R93" s="25" t="str">
        <f>IFERROR(Stanje[[#This Row],[Početan broj vodilica]]-Stanje[[#This Row],[Broj prodanih vodilica]]-Stanje[[#This Row],[Broj montiranih vodilica]]+Stanje[[#This Row],[Broj ulaza vodilica]],"")</f>
        <v/>
      </c>
      <c r="S93" s="45"/>
      <c r="T93" s="25" t="str">
        <f>IFERROR(IF(ISBLANK(Ulaz_izlaz[[#This Row],[Šifra motora]]),"",Ulaz_izlaz[[#This Row],[Šifra motora]]),"")</f>
        <v/>
      </c>
      <c r="U93" s="50">
        <f>SUMIFS(Upis_stavki!K:K,Upis_stavki!H:H,Stanje[[#This Row],[Šifra motora]],Upis_stavki!J:J,"Ulaz")</f>
        <v>0</v>
      </c>
      <c r="V93" s="25">
        <f>SUMIFS(Upis_stavki!K:K,Upis_stavki!H:H,Stanje[[#This Row],[Šifra motora]],Upis_stavki!J:J,"Montirano")</f>
        <v>0</v>
      </c>
      <c r="W93" s="25">
        <f>SUMIFS(Upis_stavki!K:K,Upis_stavki!H:H,Stanje[[#This Row],[Šifra motora]],Upis_stavki!J:J,"Prodano")</f>
        <v>0</v>
      </c>
      <c r="X93" s="50" t="str">
        <f>IFERROR(VLOOKUP(Stanje[[#This Row],[Šifra motora]],baza_motora[],3,FALSE),"")</f>
        <v/>
      </c>
      <c r="Y93" s="50" t="str">
        <f>IFERROR(Stanje[[#This Row],[Početan broj motora]]-Stanje[[#This Row],[Broj montiranih motora]]+Stanje[[#This Row],[Broj ulaza motora]],"")</f>
        <v/>
      </c>
      <c r="Z93" s="25" t="str">
        <f>IFERROR(Stanje[[#This Row],[Početan broj motora]]-Stanje[[#This Row],[Broj prodanih motora]]-Stanje[[#This Row],[Broj montiranih motora]]+Stanje[[#This Row],[Broj ulaza motora]],"")</f>
        <v/>
      </c>
    </row>
    <row r="94" spans="1:26" x14ac:dyDescent="0.35">
      <c r="A94" s="51">
        <v>44696</v>
      </c>
      <c r="B94" s="25" t="str">
        <f>IFERROR(IF(ISBLANK(Ulaz_izlaz[[#This Row],[Šifra proizvoda vrata]]),"",Ulaz_izlaz[[#This Row],[Šifra proizvoda vrata]]),"")</f>
        <v/>
      </c>
      <c r="C94" s="25" t="str">
        <f>IFERROR(VLOOKUP(Stanje[[#This Row],[Šifra Vrata]],Vrata[],2,FALSE),"")</f>
        <v/>
      </c>
      <c r="D94" s="25" t="str">
        <f>IFERROR(VLOOKUP(Stanje[[#This Row],[Šifra Vrata]],Vrata[],3,FALSE),"")</f>
        <v/>
      </c>
      <c r="E94" s="25">
        <f>SUMIFS(Upis_stavki!M:M,Upis_stavki!B:B,Stanje[[#This Row],[Šifra Vrata]],Upis_stavki!J:J,"Ulaz")</f>
        <v>0</v>
      </c>
      <c r="F94" s="50">
        <f>SUMIFS(Upis_stavki!M:M,Upis_stavki!B:B,Stanje[[#This Row],[Šifra Vrata]],Upis_stavki!J:J,"Montirano")</f>
        <v>0</v>
      </c>
      <c r="G94" s="50">
        <f>SUMIFS(Upis_stavki!M:M,Upis_stavki!B:B,Stanje[[#This Row],[Šifra Vrata]],Upis_stavki!J:J,"Prodano")</f>
        <v>0</v>
      </c>
      <c r="H94" s="25" t="str">
        <f>IFERROR(VLOOKUP(Stanje[[#This Row],[Šifra Vrata]],Vrata[],4,FALSE),"")</f>
        <v/>
      </c>
      <c r="I94" s="25" t="str">
        <f>IFERROR(Stanje[[#This Row],[Početan broj vrata]]-Stanje[[#This Row],[Broj montiranih Vrata]]+Stanje[[#This Row],[Broj ulaza Vrata]],"")</f>
        <v/>
      </c>
      <c r="J94" s="25" t="str">
        <f>IFERROR(Stanje[[#This Row],[Početan broj vrata]]-Stanje[[#This Row],[Broj prodanih Vrata]]-Stanje[[#This Row],[Broj montiranih Vrata]]+Stanje[[#This Row],[Broj ulaza Vrata]],"")</f>
        <v/>
      </c>
      <c r="K94" s="45"/>
      <c r="L94" s="50" t="str">
        <f>IFERROR(IF(ISBLANK(Ulaz_izlaz[[#This Row],[Šifra vodilice]]),"",Ulaz_izlaz[[#This Row],[Šifra vodilice]]),"")</f>
        <v/>
      </c>
      <c r="M94" s="50">
        <f>SUMIFS(Upis_stavki!L:L,Upis_stavki!F:F,Stanje[[#This Row],[Šifra vodilica]],Upis_stavki!J:J,"Ulaz")</f>
        <v>0</v>
      </c>
      <c r="N94" s="50">
        <f>SUMIFS(Upis_stavki!L:L,Upis_stavki!F:F,Stanje[[#This Row],[Šifra vodilica]],Upis_stavki!J:J,"Montirano")</f>
        <v>0</v>
      </c>
      <c r="O94" s="25">
        <f>SUMIFS(Upis_stavki!L:L,Upis_stavki!F:F,Stanje[[#This Row],[Šifra vodilica]],Upis_stavki!J:J,"Prodano")</f>
        <v>0</v>
      </c>
      <c r="P94" s="25" t="str">
        <f>IFERROR(VLOOKUP(Stanje[[#This Row],[Šifra vodilica]],baza_vodilica[],3,FALSE),"")</f>
        <v/>
      </c>
      <c r="Q94" s="25" t="str">
        <f>IFERROR(Stanje[[#This Row],[Početan broj vodilica]]-Stanje[[#This Row],[Broj montiranih vodilica]]+Stanje[[#This Row],[Broj ulaza vodilica]],"")</f>
        <v/>
      </c>
      <c r="R94" s="25" t="str">
        <f>IFERROR(Stanje[[#This Row],[Početan broj vodilica]]-Stanje[[#This Row],[Broj prodanih vodilica]]-Stanje[[#This Row],[Broj montiranih vodilica]]+Stanje[[#This Row],[Broj ulaza vodilica]],"")</f>
        <v/>
      </c>
      <c r="S94" s="45"/>
      <c r="T94" s="25" t="str">
        <f>IFERROR(IF(ISBLANK(Ulaz_izlaz[[#This Row],[Šifra motora]]),"",Ulaz_izlaz[[#This Row],[Šifra motora]]),"")</f>
        <v/>
      </c>
      <c r="U94" s="50">
        <f>SUMIFS(Upis_stavki!K:K,Upis_stavki!H:H,Stanje[[#This Row],[Šifra motora]],Upis_stavki!J:J,"Ulaz")</f>
        <v>0</v>
      </c>
      <c r="V94" s="25">
        <f>SUMIFS(Upis_stavki!K:K,Upis_stavki!H:H,Stanje[[#This Row],[Šifra motora]],Upis_stavki!J:J,"Montirano")</f>
        <v>0</v>
      </c>
      <c r="W94" s="25">
        <f>SUMIFS(Upis_stavki!K:K,Upis_stavki!H:H,Stanje[[#This Row],[Šifra motora]],Upis_stavki!J:J,"Prodano")</f>
        <v>0</v>
      </c>
      <c r="X94" s="50" t="str">
        <f>IFERROR(VLOOKUP(Stanje[[#This Row],[Šifra motora]],baza_motora[],3,FALSE),"")</f>
        <v/>
      </c>
      <c r="Y94" s="50" t="str">
        <f>IFERROR(Stanje[[#This Row],[Početan broj motora]]-Stanje[[#This Row],[Broj montiranih motora]]+Stanje[[#This Row],[Broj ulaza motora]],"")</f>
        <v/>
      </c>
      <c r="Z94" s="25" t="str">
        <f>IFERROR(Stanje[[#This Row],[Početan broj motora]]-Stanje[[#This Row],[Broj prodanih motora]]-Stanje[[#This Row],[Broj montiranih motora]]+Stanje[[#This Row],[Broj ulaza motora]],"")</f>
        <v/>
      </c>
    </row>
    <row r="95" spans="1:26" x14ac:dyDescent="0.35">
      <c r="A95" s="51">
        <v>44697</v>
      </c>
      <c r="B95" s="25" t="str">
        <f>IFERROR(IF(ISBLANK(Ulaz_izlaz[[#This Row],[Šifra proizvoda vrata]]),"",Ulaz_izlaz[[#This Row],[Šifra proizvoda vrata]]),"")</f>
        <v/>
      </c>
      <c r="C95" s="25" t="str">
        <f>IFERROR(VLOOKUP(Stanje[[#This Row],[Šifra Vrata]],Vrata[],2,FALSE),"")</f>
        <v/>
      </c>
      <c r="D95" s="25" t="str">
        <f>IFERROR(VLOOKUP(Stanje[[#This Row],[Šifra Vrata]],Vrata[],3,FALSE),"")</f>
        <v/>
      </c>
      <c r="E95" s="25">
        <f>SUMIFS(Upis_stavki!M:M,Upis_stavki!B:B,Stanje[[#This Row],[Šifra Vrata]],Upis_stavki!J:J,"Ulaz")</f>
        <v>0</v>
      </c>
      <c r="F95" s="50">
        <f>SUMIFS(Upis_stavki!M:M,Upis_stavki!B:B,Stanje[[#This Row],[Šifra Vrata]],Upis_stavki!J:J,"Montirano")</f>
        <v>0</v>
      </c>
      <c r="G95" s="50">
        <f>SUMIFS(Upis_stavki!M:M,Upis_stavki!B:B,Stanje[[#This Row],[Šifra Vrata]],Upis_stavki!J:J,"Prodano")</f>
        <v>0</v>
      </c>
      <c r="H95" s="25" t="str">
        <f>IFERROR(VLOOKUP(Stanje[[#This Row],[Šifra Vrata]],Vrata[],4,FALSE),"")</f>
        <v/>
      </c>
      <c r="I95" s="25" t="str">
        <f>IFERROR(Stanje[[#This Row],[Početan broj vrata]]-Stanje[[#This Row],[Broj montiranih Vrata]]+Stanje[[#This Row],[Broj ulaza Vrata]],"")</f>
        <v/>
      </c>
      <c r="J95" s="25" t="str">
        <f>IFERROR(Stanje[[#This Row],[Početan broj vrata]]-Stanje[[#This Row],[Broj prodanih Vrata]]-Stanje[[#This Row],[Broj montiranih Vrata]]+Stanje[[#This Row],[Broj ulaza Vrata]],"")</f>
        <v/>
      </c>
      <c r="K95" s="45"/>
      <c r="L95" s="50" t="str">
        <f>IFERROR(IF(ISBLANK(Ulaz_izlaz[[#This Row],[Šifra vodilice]]),"",Ulaz_izlaz[[#This Row],[Šifra vodilice]]),"")</f>
        <v/>
      </c>
      <c r="M95" s="50">
        <f>SUMIFS(Upis_stavki!L:L,Upis_stavki!F:F,Stanje[[#This Row],[Šifra vodilica]],Upis_stavki!J:J,"Ulaz")</f>
        <v>0</v>
      </c>
      <c r="N95" s="50">
        <f>SUMIFS(Upis_stavki!L:L,Upis_stavki!F:F,Stanje[[#This Row],[Šifra vodilica]],Upis_stavki!J:J,"Montirano")</f>
        <v>0</v>
      </c>
      <c r="O95" s="25">
        <f>SUMIFS(Upis_stavki!L:L,Upis_stavki!F:F,Stanje[[#This Row],[Šifra vodilica]],Upis_stavki!J:J,"Prodano")</f>
        <v>0</v>
      </c>
      <c r="P95" s="25" t="str">
        <f>IFERROR(VLOOKUP(Stanje[[#This Row],[Šifra vodilica]],baza_vodilica[],3,FALSE),"")</f>
        <v/>
      </c>
      <c r="Q95" s="25" t="str">
        <f>IFERROR(Stanje[[#This Row],[Početan broj vodilica]]-Stanje[[#This Row],[Broj montiranih vodilica]]+Stanje[[#This Row],[Broj ulaza vodilica]],"")</f>
        <v/>
      </c>
      <c r="R95" s="25" t="str">
        <f>IFERROR(Stanje[[#This Row],[Početan broj vodilica]]-Stanje[[#This Row],[Broj prodanih vodilica]]-Stanje[[#This Row],[Broj montiranih vodilica]]+Stanje[[#This Row],[Broj ulaza vodilica]],"")</f>
        <v/>
      </c>
      <c r="S95" s="45"/>
      <c r="T95" s="25" t="str">
        <f>IFERROR(IF(ISBLANK(Ulaz_izlaz[[#This Row],[Šifra motora]]),"",Ulaz_izlaz[[#This Row],[Šifra motora]]),"")</f>
        <v/>
      </c>
      <c r="U95" s="50">
        <f>SUMIFS(Upis_stavki!K:K,Upis_stavki!H:H,Stanje[[#This Row],[Šifra motora]],Upis_stavki!J:J,"Ulaz")</f>
        <v>0</v>
      </c>
      <c r="V95" s="25">
        <f>SUMIFS(Upis_stavki!K:K,Upis_stavki!H:H,Stanje[[#This Row],[Šifra motora]],Upis_stavki!J:J,"Montirano")</f>
        <v>0</v>
      </c>
      <c r="W95" s="25">
        <f>SUMIFS(Upis_stavki!K:K,Upis_stavki!H:H,Stanje[[#This Row],[Šifra motora]],Upis_stavki!J:J,"Prodano")</f>
        <v>0</v>
      </c>
      <c r="X95" s="50" t="str">
        <f>IFERROR(VLOOKUP(Stanje[[#This Row],[Šifra motora]],baza_motora[],3,FALSE),"")</f>
        <v/>
      </c>
      <c r="Y95" s="50" t="str">
        <f>IFERROR(Stanje[[#This Row],[Početan broj motora]]-Stanje[[#This Row],[Broj montiranih motora]]+Stanje[[#This Row],[Broj ulaza motora]],"")</f>
        <v/>
      </c>
      <c r="Z95" s="25" t="str">
        <f>IFERROR(Stanje[[#This Row],[Početan broj motora]]-Stanje[[#This Row],[Broj prodanih motora]]-Stanje[[#This Row],[Broj montiranih motora]]+Stanje[[#This Row],[Broj ulaza motora]],"")</f>
        <v/>
      </c>
    </row>
    <row r="96" spans="1:26" x14ac:dyDescent="0.35">
      <c r="A96" s="51">
        <v>44698</v>
      </c>
      <c r="B96" s="25" t="str">
        <f>IFERROR(IF(ISBLANK(Ulaz_izlaz[[#This Row],[Šifra proizvoda vrata]]),"",Ulaz_izlaz[[#This Row],[Šifra proizvoda vrata]]),"")</f>
        <v/>
      </c>
      <c r="C96" s="25" t="str">
        <f>IFERROR(VLOOKUP(Stanje[[#This Row],[Šifra Vrata]],Vrata[],2,FALSE),"")</f>
        <v/>
      </c>
      <c r="D96" s="25" t="str">
        <f>IFERROR(VLOOKUP(Stanje[[#This Row],[Šifra Vrata]],Vrata[],3,FALSE),"")</f>
        <v/>
      </c>
      <c r="E96" s="25">
        <f>SUMIFS(Upis_stavki!M:M,Upis_stavki!B:B,Stanje[[#This Row],[Šifra Vrata]],Upis_stavki!J:J,"Ulaz")</f>
        <v>0</v>
      </c>
      <c r="F96" s="50">
        <f>SUMIFS(Upis_stavki!M:M,Upis_stavki!B:B,Stanje[[#This Row],[Šifra Vrata]],Upis_stavki!J:J,"Montirano")</f>
        <v>0</v>
      </c>
      <c r="G96" s="50">
        <f>SUMIFS(Upis_stavki!M:M,Upis_stavki!B:B,Stanje[[#This Row],[Šifra Vrata]],Upis_stavki!J:J,"Prodano")</f>
        <v>0</v>
      </c>
      <c r="H96" s="25" t="str">
        <f>IFERROR(VLOOKUP(Stanje[[#This Row],[Šifra Vrata]],Vrata[],4,FALSE),"")</f>
        <v/>
      </c>
      <c r="I96" s="25" t="str">
        <f>IFERROR(Stanje[[#This Row],[Početan broj vrata]]-Stanje[[#This Row],[Broj montiranih Vrata]]+Stanje[[#This Row],[Broj ulaza Vrata]],"")</f>
        <v/>
      </c>
      <c r="J96" s="25" t="str">
        <f>IFERROR(Stanje[[#This Row],[Početan broj vrata]]-Stanje[[#This Row],[Broj prodanih Vrata]]-Stanje[[#This Row],[Broj montiranih Vrata]]+Stanje[[#This Row],[Broj ulaza Vrata]],"")</f>
        <v/>
      </c>
      <c r="K96" s="45"/>
      <c r="L96" s="50" t="str">
        <f>IFERROR(IF(ISBLANK(Ulaz_izlaz[[#This Row],[Šifra vodilice]]),"",Ulaz_izlaz[[#This Row],[Šifra vodilice]]),"")</f>
        <v/>
      </c>
      <c r="M96" s="50">
        <f>SUMIFS(Upis_stavki!L:L,Upis_stavki!F:F,Stanje[[#This Row],[Šifra vodilica]],Upis_stavki!J:J,"Ulaz")</f>
        <v>0</v>
      </c>
      <c r="N96" s="50">
        <f>SUMIFS(Upis_stavki!L:L,Upis_stavki!F:F,Stanje[[#This Row],[Šifra vodilica]],Upis_stavki!J:J,"Montirano")</f>
        <v>0</v>
      </c>
      <c r="O96" s="25">
        <f>SUMIFS(Upis_stavki!L:L,Upis_stavki!F:F,Stanje[[#This Row],[Šifra vodilica]],Upis_stavki!J:J,"Prodano")</f>
        <v>0</v>
      </c>
      <c r="P96" s="25" t="str">
        <f>IFERROR(VLOOKUP(Stanje[[#This Row],[Šifra vodilica]],baza_vodilica[],3,FALSE),"")</f>
        <v/>
      </c>
      <c r="Q96" s="25" t="str">
        <f>IFERROR(Stanje[[#This Row],[Početan broj vodilica]]-Stanje[[#This Row],[Broj montiranih vodilica]]+Stanje[[#This Row],[Broj ulaza vodilica]],"")</f>
        <v/>
      </c>
      <c r="R96" s="25" t="str">
        <f>IFERROR(Stanje[[#This Row],[Početan broj vodilica]]-Stanje[[#This Row],[Broj prodanih vodilica]]-Stanje[[#This Row],[Broj montiranih vodilica]]+Stanje[[#This Row],[Broj ulaza vodilica]],"")</f>
        <v/>
      </c>
      <c r="S96" s="45"/>
      <c r="T96" s="25" t="str">
        <f>IFERROR(IF(ISBLANK(Ulaz_izlaz[[#This Row],[Šifra motora]]),"",Ulaz_izlaz[[#This Row],[Šifra motora]]),"")</f>
        <v/>
      </c>
      <c r="U96" s="50">
        <f>SUMIFS(Upis_stavki!K:K,Upis_stavki!H:H,Stanje[[#This Row],[Šifra motora]],Upis_stavki!J:J,"Ulaz")</f>
        <v>0</v>
      </c>
      <c r="V96" s="25">
        <f>SUMIFS(Upis_stavki!K:K,Upis_stavki!H:H,Stanje[[#This Row],[Šifra motora]],Upis_stavki!J:J,"Montirano")</f>
        <v>0</v>
      </c>
      <c r="W96" s="25">
        <f>SUMIFS(Upis_stavki!K:K,Upis_stavki!H:H,Stanje[[#This Row],[Šifra motora]],Upis_stavki!J:J,"Prodano")</f>
        <v>0</v>
      </c>
      <c r="X96" s="50" t="str">
        <f>IFERROR(VLOOKUP(Stanje[[#This Row],[Šifra motora]],baza_motora[],3,FALSE),"")</f>
        <v/>
      </c>
      <c r="Y96" s="50" t="str">
        <f>IFERROR(Stanje[[#This Row],[Početan broj motora]]-Stanje[[#This Row],[Broj montiranih motora]]+Stanje[[#This Row],[Broj ulaza motora]],"")</f>
        <v/>
      </c>
      <c r="Z96" s="25" t="str">
        <f>IFERROR(Stanje[[#This Row],[Početan broj motora]]-Stanje[[#This Row],[Broj prodanih motora]]-Stanje[[#This Row],[Broj montiranih motora]]+Stanje[[#This Row],[Broj ulaza motora]],"")</f>
        <v/>
      </c>
    </row>
    <row r="97" spans="1:26" x14ac:dyDescent="0.35">
      <c r="A97" s="51">
        <v>44699</v>
      </c>
      <c r="B97" s="25" t="str">
        <f>IFERROR(IF(ISBLANK(Ulaz_izlaz[[#This Row],[Šifra proizvoda vrata]]),"",Ulaz_izlaz[[#This Row],[Šifra proizvoda vrata]]),"")</f>
        <v/>
      </c>
      <c r="C97" s="25" t="str">
        <f>IFERROR(VLOOKUP(Stanje[[#This Row],[Šifra Vrata]],Vrata[],2,FALSE),"")</f>
        <v/>
      </c>
      <c r="D97" s="25" t="str">
        <f>IFERROR(VLOOKUP(Stanje[[#This Row],[Šifra Vrata]],Vrata[],3,FALSE),"")</f>
        <v/>
      </c>
      <c r="E97" s="25">
        <f>SUMIFS(Upis_stavki!M:M,Upis_stavki!B:B,Stanje[[#This Row],[Šifra Vrata]],Upis_stavki!J:J,"Ulaz")</f>
        <v>0</v>
      </c>
      <c r="F97" s="50">
        <f>SUMIFS(Upis_stavki!M:M,Upis_stavki!B:B,Stanje[[#This Row],[Šifra Vrata]],Upis_stavki!J:J,"Montirano")</f>
        <v>0</v>
      </c>
      <c r="G97" s="50">
        <f>SUMIFS(Upis_stavki!M:M,Upis_stavki!B:B,Stanje[[#This Row],[Šifra Vrata]],Upis_stavki!J:J,"Prodano")</f>
        <v>0</v>
      </c>
      <c r="H97" s="25" t="str">
        <f>IFERROR(VLOOKUP(Stanje[[#This Row],[Šifra Vrata]],Vrata[],4,FALSE),"")</f>
        <v/>
      </c>
      <c r="I97" s="25" t="str">
        <f>IFERROR(Stanje[[#This Row],[Početan broj vrata]]-Stanje[[#This Row],[Broj montiranih Vrata]]+Stanje[[#This Row],[Broj ulaza Vrata]],"")</f>
        <v/>
      </c>
      <c r="J97" s="25" t="str">
        <f>IFERROR(Stanje[[#This Row],[Početan broj vrata]]-Stanje[[#This Row],[Broj prodanih Vrata]]-Stanje[[#This Row],[Broj montiranih Vrata]]+Stanje[[#This Row],[Broj ulaza Vrata]],"")</f>
        <v/>
      </c>
      <c r="K97" s="45"/>
      <c r="L97" s="50" t="str">
        <f>IFERROR(IF(ISBLANK(Ulaz_izlaz[[#This Row],[Šifra vodilice]]),"",Ulaz_izlaz[[#This Row],[Šifra vodilice]]),"")</f>
        <v/>
      </c>
      <c r="M97" s="50">
        <f>SUMIFS(Upis_stavki!L:L,Upis_stavki!F:F,Stanje[[#This Row],[Šifra vodilica]],Upis_stavki!J:J,"Ulaz")</f>
        <v>0</v>
      </c>
      <c r="N97" s="50">
        <f>SUMIFS(Upis_stavki!L:L,Upis_stavki!F:F,Stanje[[#This Row],[Šifra vodilica]],Upis_stavki!J:J,"Montirano")</f>
        <v>0</v>
      </c>
      <c r="O97" s="25">
        <f>SUMIFS(Upis_stavki!L:L,Upis_stavki!F:F,Stanje[[#This Row],[Šifra vodilica]],Upis_stavki!J:J,"Prodano")</f>
        <v>0</v>
      </c>
      <c r="P97" s="25" t="str">
        <f>IFERROR(VLOOKUP(Stanje[[#This Row],[Šifra vodilica]],baza_vodilica[],3,FALSE),"")</f>
        <v/>
      </c>
      <c r="Q97" s="25" t="str">
        <f>IFERROR(Stanje[[#This Row],[Početan broj vodilica]]-Stanje[[#This Row],[Broj montiranih vodilica]]+Stanje[[#This Row],[Broj ulaza vodilica]],"")</f>
        <v/>
      </c>
      <c r="R97" s="25" t="str">
        <f>IFERROR(Stanje[[#This Row],[Početan broj vodilica]]-Stanje[[#This Row],[Broj prodanih vodilica]]-Stanje[[#This Row],[Broj montiranih vodilica]]+Stanje[[#This Row],[Broj ulaza vodilica]],"")</f>
        <v/>
      </c>
      <c r="S97" s="45"/>
      <c r="T97" s="25" t="str">
        <f>IFERROR(IF(ISBLANK(Ulaz_izlaz[[#This Row],[Šifra motora]]),"",Ulaz_izlaz[[#This Row],[Šifra motora]]),"")</f>
        <v/>
      </c>
      <c r="U97" s="50">
        <f>SUMIFS(Upis_stavki!K:K,Upis_stavki!H:H,Stanje[[#This Row],[Šifra motora]],Upis_stavki!J:J,"Ulaz")</f>
        <v>0</v>
      </c>
      <c r="V97" s="25">
        <f>SUMIFS(Upis_stavki!K:K,Upis_stavki!H:H,Stanje[[#This Row],[Šifra motora]],Upis_stavki!J:J,"Montirano")</f>
        <v>0</v>
      </c>
      <c r="W97" s="25">
        <f>SUMIFS(Upis_stavki!K:K,Upis_stavki!H:H,Stanje[[#This Row],[Šifra motora]],Upis_stavki!J:J,"Prodano")</f>
        <v>0</v>
      </c>
      <c r="X97" s="50" t="str">
        <f>IFERROR(VLOOKUP(Stanje[[#This Row],[Šifra motora]],baza_motora[],3,FALSE),"")</f>
        <v/>
      </c>
      <c r="Y97" s="50" t="str">
        <f>IFERROR(Stanje[[#This Row],[Početan broj motora]]-Stanje[[#This Row],[Broj montiranih motora]]+Stanje[[#This Row],[Broj ulaza motora]],"")</f>
        <v/>
      </c>
      <c r="Z97" s="25" t="str">
        <f>IFERROR(Stanje[[#This Row],[Početan broj motora]]-Stanje[[#This Row],[Broj prodanih motora]]-Stanje[[#This Row],[Broj montiranih motora]]+Stanje[[#This Row],[Broj ulaza motora]],"")</f>
        <v/>
      </c>
    </row>
    <row r="98" spans="1:26" x14ac:dyDescent="0.35">
      <c r="A98" s="51">
        <v>44700</v>
      </c>
      <c r="B98" s="25" t="str">
        <f>IFERROR(IF(ISBLANK(Ulaz_izlaz[[#This Row],[Šifra proizvoda vrata]]),"",Ulaz_izlaz[[#This Row],[Šifra proizvoda vrata]]),"")</f>
        <v/>
      </c>
      <c r="C98" s="25" t="str">
        <f>IFERROR(VLOOKUP(Stanje[[#This Row],[Šifra Vrata]],Vrata[],2,FALSE),"")</f>
        <v/>
      </c>
      <c r="D98" s="25" t="str">
        <f>IFERROR(VLOOKUP(Stanje[[#This Row],[Šifra Vrata]],Vrata[],3,FALSE),"")</f>
        <v/>
      </c>
      <c r="E98" s="25">
        <f>SUMIFS(Upis_stavki!M:M,Upis_stavki!B:B,Stanje[[#This Row],[Šifra Vrata]],Upis_stavki!J:J,"Ulaz")</f>
        <v>0</v>
      </c>
      <c r="F98" s="50">
        <f>SUMIFS(Upis_stavki!M:M,Upis_stavki!B:B,Stanje[[#This Row],[Šifra Vrata]],Upis_stavki!J:J,"Montirano")</f>
        <v>0</v>
      </c>
      <c r="G98" s="50">
        <f>SUMIFS(Upis_stavki!M:M,Upis_stavki!B:B,Stanje[[#This Row],[Šifra Vrata]],Upis_stavki!J:J,"Prodano")</f>
        <v>0</v>
      </c>
      <c r="H98" s="25" t="str">
        <f>IFERROR(VLOOKUP(Stanje[[#This Row],[Šifra Vrata]],Vrata[],4,FALSE),"")</f>
        <v/>
      </c>
      <c r="I98" s="25" t="str">
        <f>IFERROR(Stanje[[#This Row],[Početan broj vrata]]-Stanje[[#This Row],[Broj montiranih Vrata]]+Stanje[[#This Row],[Broj ulaza Vrata]],"")</f>
        <v/>
      </c>
      <c r="J98" s="25" t="str">
        <f>IFERROR(Stanje[[#This Row],[Početan broj vrata]]-Stanje[[#This Row],[Broj prodanih Vrata]]-Stanje[[#This Row],[Broj montiranih Vrata]]+Stanje[[#This Row],[Broj ulaza Vrata]],"")</f>
        <v/>
      </c>
      <c r="K98" s="45"/>
      <c r="L98" s="50" t="str">
        <f>IFERROR(IF(ISBLANK(Ulaz_izlaz[[#This Row],[Šifra vodilice]]),"",Ulaz_izlaz[[#This Row],[Šifra vodilice]]),"")</f>
        <v/>
      </c>
      <c r="M98" s="50">
        <f>SUMIFS(Upis_stavki!L:L,Upis_stavki!F:F,Stanje[[#This Row],[Šifra vodilica]],Upis_stavki!J:J,"Ulaz")</f>
        <v>0</v>
      </c>
      <c r="N98" s="50">
        <f>SUMIFS(Upis_stavki!L:L,Upis_stavki!F:F,Stanje[[#This Row],[Šifra vodilica]],Upis_stavki!J:J,"Montirano")</f>
        <v>0</v>
      </c>
      <c r="O98" s="25">
        <f>SUMIFS(Upis_stavki!L:L,Upis_stavki!F:F,Stanje[[#This Row],[Šifra vodilica]],Upis_stavki!J:J,"Prodano")</f>
        <v>0</v>
      </c>
      <c r="P98" s="25" t="str">
        <f>IFERROR(VLOOKUP(Stanje[[#This Row],[Šifra vodilica]],baza_vodilica[],3,FALSE),"")</f>
        <v/>
      </c>
      <c r="Q98" s="25" t="str">
        <f>IFERROR(Stanje[[#This Row],[Početan broj vodilica]]-Stanje[[#This Row],[Broj montiranih vodilica]]+Stanje[[#This Row],[Broj ulaza vodilica]],"")</f>
        <v/>
      </c>
      <c r="R98" s="25" t="str">
        <f>IFERROR(Stanje[[#This Row],[Početan broj vodilica]]-Stanje[[#This Row],[Broj prodanih vodilica]]-Stanje[[#This Row],[Broj montiranih vodilica]]+Stanje[[#This Row],[Broj ulaza vodilica]],"")</f>
        <v/>
      </c>
      <c r="S98" s="45"/>
      <c r="T98" s="25" t="str">
        <f>IFERROR(IF(ISBLANK(Ulaz_izlaz[[#This Row],[Šifra motora]]),"",Ulaz_izlaz[[#This Row],[Šifra motora]]),"")</f>
        <v/>
      </c>
      <c r="U98" s="50">
        <f>SUMIFS(Upis_stavki!K:K,Upis_stavki!H:H,Stanje[[#This Row],[Šifra motora]],Upis_stavki!J:J,"Ulaz")</f>
        <v>0</v>
      </c>
      <c r="V98" s="25">
        <f>SUMIFS(Upis_stavki!K:K,Upis_stavki!H:H,Stanje[[#This Row],[Šifra motora]],Upis_stavki!J:J,"Montirano")</f>
        <v>0</v>
      </c>
      <c r="W98" s="25">
        <f>SUMIFS(Upis_stavki!K:K,Upis_stavki!H:H,Stanje[[#This Row],[Šifra motora]],Upis_stavki!J:J,"Prodano")</f>
        <v>0</v>
      </c>
      <c r="X98" s="50" t="str">
        <f>IFERROR(VLOOKUP(Stanje[[#This Row],[Šifra motora]],baza_motora[],3,FALSE),"")</f>
        <v/>
      </c>
      <c r="Y98" s="50" t="str">
        <f>IFERROR(Stanje[[#This Row],[Početan broj motora]]-Stanje[[#This Row],[Broj montiranih motora]]+Stanje[[#This Row],[Broj ulaza motora]],"")</f>
        <v/>
      </c>
      <c r="Z98" s="25" t="str">
        <f>IFERROR(Stanje[[#This Row],[Početan broj motora]]-Stanje[[#This Row],[Broj prodanih motora]]-Stanje[[#This Row],[Broj montiranih motora]]+Stanje[[#This Row],[Broj ulaza motora]],"")</f>
        <v/>
      </c>
    </row>
    <row r="99" spans="1:26" x14ac:dyDescent="0.35">
      <c r="A99" s="51">
        <v>44701</v>
      </c>
      <c r="B99" s="25" t="str">
        <f>IFERROR(IF(ISBLANK(Ulaz_izlaz[[#This Row],[Šifra proizvoda vrata]]),"",Ulaz_izlaz[[#This Row],[Šifra proizvoda vrata]]),"")</f>
        <v/>
      </c>
      <c r="C99" s="25" t="str">
        <f>IFERROR(VLOOKUP(Stanje[[#This Row],[Šifra Vrata]],Vrata[],2,FALSE),"")</f>
        <v/>
      </c>
      <c r="D99" s="25" t="str">
        <f>IFERROR(VLOOKUP(Stanje[[#This Row],[Šifra Vrata]],Vrata[],3,FALSE),"")</f>
        <v/>
      </c>
      <c r="E99" s="25">
        <f>SUMIFS(Upis_stavki!M:M,Upis_stavki!B:B,Stanje[[#This Row],[Šifra Vrata]],Upis_stavki!J:J,"Ulaz")</f>
        <v>0</v>
      </c>
      <c r="F99" s="50">
        <f>SUMIFS(Upis_stavki!M:M,Upis_stavki!B:B,Stanje[[#This Row],[Šifra Vrata]],Upis_stavki!J:J,"Montirano")</f>
        <v>0</v>
      </c>
      <c r="G99" s="50">
        <f>SUMIFS(Upis_stavki!M:M,Upis_stavki!B:B,Stanje[[#This Row],[Šifra Vrata]],Upis_stavki!J:J,"Prodano")</f>
        <v>0</v>
      </c>
      <c r="H99" s="25" t="str">
        <f>IFERROR(VLOOKUP(Stanje[[#This Row],[Šifra Vrata]],Vrata[],4,FALSE),"")</f>
        <v/>
      </c>
      <c r="I99" s="25" t="str">
        <f>IFERROR(Stanje[[#This Row],[Početan broj vrata]]-Stanje[[#This Row],[Broj montiranih Vrata]]+Stanje[[#This Row],[Broj ulaza Vrata]],"")</f>
        <v/>
      </c>
      <c r="J99" s="25" t="str">
        <f>IFERROR(Stanje[[#This Row],[Početan broj vrata]]-Stanje[[#This Row],[Broj prodanih Vrata]]-Stanje[[#This Row],[Broj montiranih Vrata]]+Stanje[[#This Row],[Broj ulaza Vrata]],"")</f>
        <v/>
      </c>
      <c r="K99" s="45"/>
      <c r="L99" s="50" t="str">
        <f>IFERROR(IF(ISBLANK(Ulaz_izlaz[[#This Row],[Šifra vodilice]]),"",Ulaz_izlaz[[#This Row],[Šifra vodilice]]),"")</f>
        <v/>
      </c>
      <c r="M99" s="50">
        <f>SUMIFS(Upis_stavki!L:L,Upis_stavki!F:F,Stanje[[#This Row],[Šifra vodilica]],Upis_stavki!J:J,"Ulaz")</f>
        <v>0</v>
      </c>
      <c r="N99" s="50">
        <f>SUMIFS(Upis_stavki!L:L,Upis_stavki!F:F,Stanje[[#This Row],[Šifra vodilica]],Upis_stavki!J:J,"Montirano")</f>
        <v>0</v>
      </c>
      <c r="O99" s="25">
        <f>SUMIFS(Upis_stavki!L:L,Upis_stavki!F:F,Stanje[[#This Row],[Šifra vodilica]],Upis_stavki!J:J,"Prodano")</f>
        <v>0</v>
      </c>
      <c r="P99" s="25" t="str">
        <f>IFERROR(VLOOKUP(Stanje[[#This Row],[Šifra vodilica]],baza_vodilica[],3,FALSE),"")</f>
        <v/>
      </c>
      <c r="Q99" s="25" t="str">
        <f>IFERROR(Stanje[[#This Row],[Početan broj vodilica]]-Stanje[[#This Row],[Broj montiranih vodilica]]+Stanje[[#This Row],[Broj ulaza vodilica]],"")</f>
        <v/>
      </c>
      <c r="R99" s="25" t="str">
        <f>IFERROR(Stanje[[#This Row],[Početan broj vodilica]]-Stanje[[#This Row],[Broj prodanih vodilica]]-Stanje[[#This Row],[Broj montiranih vodilica]]+Stanje[[#This Row],[Broj ulaza vodilica]],"")</f>
        <v/>
      </c>
      <c r="S99" s="45"/>
      <c r="T99" s="25" t="str">
        <f>IFERROR(IF(ISBLANK(Ulaz_izlaz[[#This Row],[Šifra motora]]),"",Ulaz_izlaz[[#This Row],[Šifra motora]]),"")</f>
        <v/>
      </c>
      <c r="U99" s="50">
        <f>SUMIFS(Upis_stavki!K:K,Upis_stavki!H:H,Stanje[[#This Row],[Šifra motora]],Upis_stavki!J:J,"Ulaz")</f>
        <v>0</v>
      </c>
      <c r="V99" s="25">
        <f>SUMIFS(Upis_stavki!K:K,Upis_stavki!H:H,Stanje[[#This Row],[Šifra motora]],Upis_stavki!J:J,"Montirano")</f>
        <v>0</v>
      </c>
      <c r="W99" s="25">
        <f>SUMIFS(Upis_stavki!K:K,Upis_stavki!H:H,Stanje[[#This Row],[Šifra motora]],Upis_stavki!J:J,"Prodano")</f>
        <v>0</v>
      </c>
      <c r="X99" s="50" t="str">
        <f>IFERROR(VLOOKUP(Stanje[[#This Row],[Šifra motora]],baza_motora[],3,FALSE),"")</f>
        <v/>
      </c>
      <c r="Y99" s="50" t="str">
        <f>IFERROR(Stanje[[#This Row],[Početan broj motora]]-Stanje[[#This Row],[Broj montiranih motora]]+Stanje[[#This Row],[Broj ulaza motora]],"")</f>
        <v/>
      </c>
      <c r="Z99" s="25" t="str">
        <f>IFERROR(Stanje[[#This Row],[Početan broj motora]]-Stanje[[#This Row],[Broj prodanih motora]]-Stanje[[#This Row],[Broj montiranih motora]]+Stanje[[#This Row],[Broj ulaza motora]],"")</f>
        <v/>
      </c>
    </row>
    <row r="100" spans="1:26" x14ac:dyDescent="0.35">
      <c r="A100" s="51">
        <v>44702</v>
      </c>
      <c r="B100" s="25" t="str">
        <f>IFERROR(IF(ISBLANK(Ulaz_izlaz[[#This Row],[Šifra proizvoda vrata]]),"",Ulaz_izlaz[[#This Row],[Šifra proizvoda vrata]]),"")</f>
        <v/>
      </c>
      <c r="C100" s="25" t="str">
        <f>IFERROR(VLOOKUP(Stanje[[#This Row],[Šifra Vrata]],Vrata[],2,FALSE),"")</f>
        <v/>
      </c>
      <c r="D100" s="25" t="str">
        <f>IFERROR(VLOOKUP(Stanje[[#This Row],[Šifra Vrata]],Vrata[],3,FALSE),"")</f>
        <v/>
      </c>
      <c r="E100" s="25">
        <f>SUMIFS(Upis_stavki!M:M,Upis_stavki!B:B,Stanje[[#This Row],[Šifra Vrata]],Upis_stavki!J:J,"Ulaz")</f>
        <v>0</v>
      </c>
      <c r="F100" s="50">
        <f>SUMIFS(Upis_stavki!M:M,Upis_stavki!B:B,Stanje[[#This Row],[Šifra Vrata]],Upis_stavki!J:J,"Montirano")</f>
        <v>0</v>
      </c>
      <c r="G100" s="50">
        <f>SUMIFS(Upis_stavki!M:M,Upis_stavki!B:B,Stanje[[#This Row],[Šifra Vrata]],Upis_stavki!J:J,"Prodano")</f>
        <v>0</v>
      </c>
      <c r="H100" s="25" t="str">
        <f>IFERROR(VLOOKUP(Stanje[[#This Row],[Šifra Vrata]],Vrata[],4,FALSE),"")</f>
        <v/>
      </c>
      <c r="I100" s="25" t="str">
        <f>IFERROR(Stanje[[#This Row],[Početan broj vrata]]-Stanje[[#This Row],[Broj montiranih Vrata]]+Stanje[[#This Row],[Broj ulaza Vrata]],"")</f>
        <v/>
      </c>
      <c r="J100" s="25" t="str">
        <f>IFERROR(Stanje[[#This Row],[Početan broj vrata]]-Stanje[[#This Row],[Broj prodanih Vrata]]-Stanje[[#This Row],[Broj montiranih Vrata]]+Stanje[[#This Row],[Broj ulaza Vrata]],"")</f>
        <v/>
      </c>
      <c r="K100" s="45"/>
      <c r="L100" s="50" t="str">
        <f>IFERROR(IF(ISBLANK(Ulaz_izlaz[[#This Row],[Šifra vodilice]]),"",Ulaz_izlaz[[#This Row],[Šifra vodilice]]),"")</f>
        <v/>
      </c>
      <c r="M100" s="50">
        <f>SUMIFS(Upis_stavki!L:L,Upis_stavki!F:F,Stanje[[#This Row],[Šifra vodilica]],Upis_stavki!J:J,"Ulaz")</f>
        <v>0</v>
      </c>
      <c r="N100" s="50">
        <f>SUMIFS(Upis_stavki!L:L,Upis_stavki!F:F,Stanje[[#This Row],[Šifra vodilica]],Upis_stavki!J:J,"Montirano")</f>
        <v>0</v>
      </c>
      <c r="O100" s="25">
        <f>SUMIFS(Upis_stavki!L:L,Upis_stavki!F:F,Stanje[[#This Row],[Šifra vodilica]],Upis_stavki!J:J,"Prodano")</f>
        <v>0</v>
      </c>
      <c r="P100" s="25" t="str">
        <f>IFERROR(VLOOKUP(Stanje[[#This Row],[Šifra vodilica]],baza_vodilica[],3,FALSE),"")</f>
        <v/>
      </c>
      <c r="Q100" s="25" t="str">
        <f>IFERROR(Stanje[[#This Row],[Početan broj vodilica]]-Stanje[[#This Row],[Broj montiranih vodilica]]+Stanje[[#This Row],[Broj ulaza vodilica]],"")</f>
        <v/>
      </c>
      <c r="R100" s="25" t="str">
        <f>IFERROR(Stanje[[#This Row],[Početan broj vodilica]]-Stanje[[#This Row],[Broj prodanih vodilica]]-Stanje[[#This Row],[Broj montiranih vodilica]]+Stanje[[#This Row],[Broj ulaza vodilica]],"")</f>
        <v/>
      </c>
      <c r="S100" s="45"/>
      <c r="T100" s="25" t="str">
        <f>IFERROR(IF(ISBLANK(Ulaz_izlaz[[#This Row],[Šifra motora]]),"",Ulaz_izlaz[[#This Row],[Šifra motora]]),"")</f>
        <v/>
      </c>
      <c r="U100" s="50">
        <f>SUMIFS(Upis_stavki!K:K,Upis_stavki!H:H,Stanje[[#This Row],[Šifra motora]],Upis_stavki!J:J,"Ulaz")</f>
        <v>0</v>
      </c>
      <c r="V100" s="25">
        <f>SUMIFS(Upis_stavki!K:K,Upis_stavki!H:H,Stanje[[#This Row],[Šifra motora]],Upis_stavki!J:J,"Montirano")</f>
        <v>0</v>
      </c>
      <c r="W100" s="25">
        <f>SUMIFS(Upis_stavki!K:K,Upis_stavki!H:H,Stanje[[#This Row],[Šifra motora]],Upis_stavki!J:J,"Prodano")</f>
        <v>0</v>
      </c>
      <c r="X100" s="50" t="str">
        <f>IFERROR(VLOOKUP(Stanje[[#This Row],[Šifra motora]],baza_motora[],3,FALSE),"")</f>
        <v/>
      </c>
      <c r="Y100" s="50" t="str">
        <f>IFERROR(Stanje[[#This Row],[Početan broj motora]]-Stanje[[#This Row],[Broj montiranih motora]]+Stanje[[#This Row],[Broj ulaza motora]],"")</f>
        <v/>
      </c>
      <c r="Z100" s="25" t="str">
        <f>IFERROR(Stanje[[#This Row],[Početan broj motora]]-Stanje[[#This Row],[Broj prodanih motora]]-Stanje[[#This Row],[Broj montiranih motora]]+Stanje[[#This Row],[Broj ulaza motora]],"")</f>
        <v/>
      </c>
    </row>
    <row r="101" spans="1:26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6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</sheetData>
  <phoneticPr fontId="5" type="noConversion"/>
  <dataValidations count="2">
    <dataValidation type="whole" operator="greaterThanOrEqual" allowBlank="1" showInputMessage="1" showErrorMessage="1" sqref="T103:T1048576" xr:uid="{AFAB0B84-265F-409E-9781-87A58B2D257F}">
      <formula1>0</formula1>
    </dataValidation>
    <dataValidation operator="greaterThanOrEqual" allowBlank="1" showInputMessage="1" showErrorMessage="1" sqref="H1:I100 R1:S100 Z1:Z100" xr:uid="{6A4F5794-6AC1-4C0E-B2E8-190C295648E9}"/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3</vt:i4>
      </vt:variant>
      <vt:variant>
        <vt:lpstr>Imenovani rasponi</vt:lpstr>
      </vt:variant>
      <vt:variant>
        <vt:i4>5</vt:i4>
      </vt:variant>
    </vt:vector>
  </HeadingPairs>
  <TitlesOfParts>
    <vt:vector size="8" baseType="lpstr">
      <vt:lpstr>BAZA PROIZVODA </vt:lpstr>
      <vt:lpstr>Upis_stavki</vt:lpstr>
      <vt:lpstr>Stanje</vt:lpstr>
      <vt:lpstr>KOLIČINA</vt:lpstr>
      <vt:lpstr>LAGER</vt:lpstr>
      <vt:lpstr>Naziv_proizvoda</vt:lpstr>
      <vt:lpstr>RAL__BOJA_DECOR</vt:lpstr>
      <vt:lpstr>Šifra_proizvoda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2022-02-09T17:55:59Z</dcterms:created>
  <dcterms:modified xsi:type="dcterms:W3CDTF">2022-03-11T15:17:21Z</dcterms:modified>
</cp:coreProperties>
</file>