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20" windowWidth="15180" windowHeight="8070" tabRatio="860" activeTab="5"/>
  </bookViews>
  <sheets>
    <sheet name="Scenario Summary" sheetId="26" r:id="rId1"/>
    <sheet name="New England Energy Skeleton" sheetId="24" r:id="rId2"/>
    <sheet name="Scenario Summary 2" sheetId="28" r:id="rId3"/>
    <sheet name="New England Energy-Bank Loan" sheetId="27" r:id="rId4"/>
    <sheet name="Scenario Summary 3" sheetId="30" r:id="rId5"/>
    <sheet name="New England Energy-CH4 Futures" sheetId="29" r:id="rId6"/>
  </sheets>
  <definedNames>
    <definedName name="_xlnm.Print_Area" localSheetId="1">'New England Energy Skeleton'!$A$1:$G$57</definedName>
    <definedName name="_xlnm.Print_Area" localSheetId="3">'New England Energy-Bank Loan'!$A$1:$G$57</definedName>
    <definedName name="_xlnm.Print_Area" localSheetId="5">'New England Energy-CH4 Futures'!$A$1:$G$57</definedName>
  </definedNames>
  <calcPr calcId="145621" iterate="1" iterateCount="104"/>
</workbook>
</file>

<file path=xl/calcChain.xml><?xml version="1.0" encoding="utf-8"?>
<calcChain xmlns="http://schemas.openxmlformats.org/spreadsheetml/2006/main">
  <c r="D33" i="29" l="1"/>
  <c r="E33" i="29"/>
  <c r="F33" i="29"/>
  <c r="G33" i="29"/>
  <c r="C33" i="29"/>
  <c r="F54" i="29"/>
  <c r="F43" i="29" s="1"/>
  <c r="B51" i="29"/>
  <c r="G43" i="29"/>
  <c r="E43" i="29"/>
  <c r="D43" i="29"/>
  <c r="C43" i="29"/>
  <c r="C41" i="29"/>
  <c r="C37" i="29"/>
  <c r="C34" i="29"/>
  <c r="C44" i="29" s="1"/>
  <c r="D32" i="29"/>
  <c r="D41" i="29" s="1"/>
  <c r="G31" i="29"/>
  <c r="G39" i="29" s="1"/>
  <c r="F31" i="29"/>
  <c r="F39" i="29" s="1"/>
  <c r="E31" i="29"/>
  <c r="E39" i="29" s="1"/>
  <c r="D31" i="29"/>
  <c r="D39" i="29" s="1"/>
  <c r="G29" i="29"/>
  <c r="F29" i="29"/>
  <c r="E29" i="29"/>
  <c r="D29" i="29"/>
  <c r="C29" i="29"/>
  <c r="C28" i="29"/>
  <c r="D28" i="29" s="1"/>
  <c r="E7" i="29"/>
  <c r="F7" i="29" s="1"/>
  <c r="G7" i="29" s="1"/>
  <c r="D7" i="29"/>
  <c r="D6" i="29"/>
  <c r="E5" i="29"/>
  <c r="E32" i="29" s="1"/>
  <c r="F54" i="27"/>
  <c r="D43" i="27" s="1"/>
  <c r="B51" i="27"/>
  <c r="C37" i="27"/>
  <c r="C34" i="27"/>
  <c r="C44" i="27" s="1"/>
  <c r="C33" i="27"/>
  <c r="C41" i="27" s="1"/>
  <c r="E32" i="27"/>
  <c r="D32" i="27"/>
  <c r="G31" i="27"/>
  <c r="G39" i="27" s="1"/>
  <c r="F31" i="27"/>
  <c r="F39" i="27" s="1"/>
  <c r="E31" i="27"/>
  <c r="E39" i="27" s="1"/>
  <c r="D31" i="27"/>
  <c r="D39" i="27" s="1"/>
  <c r="G29" i="27"/>
  <c r="F29" i="27"/>
  <c r="E29" i="27"/>
  <c r="D29" i="27"/>
  <c r="C29" i="27"/>
  <c r="C28" i="27"/>
  <c r="D7" i="27"/>
  <c r="E7" i="27" s="1"/>
  <c r="F7" i="27" s="1"/>
  <c r="G7" i="27" s="1"/>
  <c r="D6" i="27"/>
  <c r="E6" i="27" s="1"/>
  <c r="E5" i="27"/>
  <c r="F5" i="27" s="1"/>
  <c r="B51" i="24"/>
  <c r="E41" i="29" l="1"/>
  <c r="D34" i="29"/>
  <c r="E34" i="29" s="1"/>
  <c r="E44" i="29" s="1"/>
  <c r="C30" i="29"/>
  <c r="C38" i="29" s="1"/>
  <c r="C40" i="29" s="1"/>
  <c r="C42" i="29" s="1"/>
  <c r="C45" i="29" s="1"/>
  <c r="C46" i="29" s="1"/>
  <c r="C47" i="29" s="1"/>
  <c r="E6" i="29"/>
  <c r="D30" i="29"/>
  <c r="D38" i="29" s="1"/>
  <c r="D40" i="29" s="1"/>
  <c r="D42" i="29" s="1"/>
  <c r="E28" i="29"/>
  <c r="F34" i="29"/>
  <c r="F5" i="29"/>
  <c r="F6" i="29"/>
  <c r="D34" i="27"/>
  <c r="E34" i="27" s="1"/>
  <c r="F34" i="27" s="1"/>
  <c r="C30" i="27"/>
  <c r="C38" i="27" s="1"/>
  <c r="C40" i="27" s="1"/>
  <c r="C42" i="27" s="1"/>
  <c r="D28" i="27"/>
  <c r="D30" i="27" s="1"/>
  <c r="D38" i="27" s="1"/>
  <c r="D40" i="27" s="1"/>
  <c r="G43" i="27"/>
  <c r="C43" i="27"/>
  <c r="E43" i="27"/>
  <c r="F43" i="27"/>
  <c r="F32" i="27"/>
  <c r="G5" i="27"/>
  <c r="G32" i="27" s="1"/>
  <c r="F6" i="27"/>
  <c r="E33" i="27"/>
  <c r="E41" i="27" s="1"/>
  <c r="D33" i="27"/>
  <c r="D41" i="27" s="1"/>
  <c r="D44" i="27"/>
  <c r="D43" i="24"/>
  <c r="E43" i="24"/>
  <c r="F43" i="24"/>
  <c r="G43" i="24"/>
  <c r="C43" i="24"/>
  <c r="F54" i="24"/>
  <c r="C37" i="24"/>
  <c r="C34" i="24"/>
  <c r="C44" i="24" s="1"/>
  <c r="D44" i="29" l="1"/>
  <c r="D45" i="29" s="1"/>
  <c r="D46" i="29" s="1"/>
  <c r="D47" i="29" s="1"/>
  <c r="G34" i="29"/>
  <c r="G44" i="29" s="1"/>
  <c r="F44" i="29"/>
  <c r="B52" i="29"/>
  <c r="C23" i="29"/>
  <c r="C48" i="29"/>
  <c r="G6" i="29"/>
  <c r="F32" i="29"/>
  <c r="F41" i="29" s="1"/>
  <c r="G5" i="29"/>
  <c r="G32" i="29" s="1"/>
  <c r="G41" i="29" s="1"/>
  <c r="E30" i="29"/>
  <c r="E38" i="29" s="1"/>
  <c r="E40" i="29" s="1"/>
  <c r="E42" i="29" s="1"/>
  <c r="E45" i="29" s="1"/>
  <c r="F28" i="29"/>
  <c r="E44" i="27"/>
  <c r="D42" i="27"/>
  <c r="D45" i="27" s="1"/>
  <c r="D46" i="27" s="1"/>
  <c r="D47" i="27" s="1"/>
  <c r="E28" i="27"/>
  <c r="F28" i="27" s="1"/>
  <c r="C45" i="27"/>
  <c r="C46" i="27" s="1"/>
  <c r="C47" i="27" s="1"/>
  <c r="B52" i="27" s="1"/>
  <c r="F44" i="27"/>
  <c r="G34" i="27"/>
  <c r="G44" i="27" s="1"/>
  <c r="F33" i="27"/>
  <c r="F41" i="27" s="1"/>
  <c r="G6" i="27"/>
  <c r="G33" i="27" s="1"/>
  <c r="G41" i="27" s="1"/>
  <c r="D34" i="24"/>
  <c r="D44" i="24" s="1"/>
  <c r="F30" i="29" l="1"/>
  <c r="F38" i="29" s="1"/>
  <c r="F40" i="29" s="1"/>
  <c r="F42" i="29" s="1"/>
  <c r="F45" i="29" s="1"/>
  <c r="G28" i="29"/>
  <c r="G30" i="29" s="1"/>
  <c r="G38" i="29" s="1"/>
  <c r="G40" i="29" s="1"/>
  <c r="G42" i="29" s="1"/>
  <c r="G45" i="29" s="1"/>
  <c r="E46" i="29"/>
  <c r="E47" i="29" s="1"/>
  <c r="B53" i="29"/>
  <c r="D23" i="29"/>
  <c r="C24" i="29"/>
  <c r="D37" i="29"/>
  <c r="D48" i="29" s="1"/>
  <c r="E30" i="27"/>
  <c r="E38" i="27" s="1"/>
  <c r="E40" i="27" s="1"/>
  <c r="E42" i="27" s="1"/>
  <c r="E45" i="27" s="1"/>
  <c r="E46" i="27" s="1"/>
  <c r="E47" i="27" s="1"/>
  <c r="C48" i="27"/>
  <c r="D37" i="27" s="1"/>
  <c r="D48" i="27" s="1"/>
  <c r="C23" i="27"/>
  <c r="B53" i="27"/>
  <c r="D23" i="27"/>
  <c r="F30" i="27"/>
  <c r="F38" i="27" s="1"/>
  <c r="F40" i="27" s="1"/>
  <c r="F42" i="27" s="1"/>
  <c r="F45" i="27" s="1"/>
  <c r="G28" i="27"/>
  <c r="G30" i="27" s="1"/>
  <c r="G38" i="27" s="1"/>
  <c r="G40" i="27" s="1"/>
  <c r="G42" i="27" s="1"/>
  <c r="G45" i="27" s="1"/>
  <c r="E34" i="24"/>
  <c r="F34" i="24" s="1"/>
  <c r="E23" i="29" l="1"/>
  <c r="B54" i="29"/>
  <c r="F46" i="29"/>
  <c r="F47" i="29" s="1"/>
  <c r="E37" i="29"/>
  <c r="E48" i="29" s="1"/>
  <c r="D24" i="29"/>
  <c r="G46" i="29"/>
  <c r="G47" i="29" s="1"/>
  <c r="C24" i="27"/>
  <c r="B54" i="27"/>
  <c r="E23" i="27"/>
  <c r="G46" i="27"/>
  <c r="G47" i="27" s="1"/>
  <c r="F46" i="27"/>
  <c r="F47" i="27" s="1"/>
  <c r="E37" i="27"/>
  <c r="E48" i="27" s="1"/>
  <c r="D24" i="27"/>
  <c r="E44" i="24"/>
  <c r="G34" i="24"/>
  <c r="G44" i="24" s="1"/>
  <c r="F44" i="24"/>
  <c r="G23" i="29" l="1"/>
  <c r="B56" i="29"/>
  <c r="B55" i="29"/>
  <c r="F23" i="29"/>
  <c r="F37" i="29"/>
  <c r="F48" i="29" s="1"/>
  <c r="E24" i="29"/>
  <c r="B55" i="27"/>
  <c r="F23" i="27"/>
  <c r="F37" i="27"/>
  <c r="F48" i="27" s="1"/>
  <c r="E24" i="27"/>
  <c r="B56" i="27"/>
  <c r="G23" i="27"/>
  <c r="C33" i="24"/>
  <c r="C41" i="24" s="1"/>
  <c r="E32" i="24"/>
  <c r="F32" i="24"/>
  <c r="G32" i="24"/>
  <c r="D32" i="24"/>
  <c r="E31" i="24"/>
  <c r="E39" i="24" s="1"/>
  <c r="F31" i="24"/>
  <c r="F39" i="24" s="1"/>
  <c r="G31" i="24"/>
  <c r="G39" i="24" s="1"/>
  <c r="D31" i="24"/>
  <c r="D39" i="24" s="1"/>
  <c r="B57" i="29" l="1"/>
  <c r="G25" i="29" s="1"/>
  <c r="G37" i="29"/>
  <c r="G48" i="29" s="1"/>
  <c r="G24" i="29" s="1"/>
  <c r="F24" i="29"/>
  <c r="B57" i="27"/>
  <c r="G25" i="27" s="1"/>
  <c r="G37" i="27"/>
  <c r="G48" i="27" s="1"/>
  <c r="G24" i="27" s="1"/>
  <c r="F24" i="27"/>
  <c r="E29" i="24"/>
  <c r="F29" i="24"/>
  <c r="G29" i="24"/>
  <c r="D29" i="24"/>
  <c r="C29" i="24"/>
  <c r="C28" i="24"/>
  <c r="D28" i="24" s="1"/>
  <c r="E28" i="24" s="1"/>
  <c r="F28" i="24" s="1"/>
  <c r="G28" i="24" s="1"/>
  <c r="D30" i="24" l="1"/>
  <c r="D38" i="24" s="1"/>
  <c r="D40" i="24" s="1"/>
  <c r="F30" i="24"/>
  <c r="F38" i="24" s="1"/>
  <c r="F40" i="24" s="1"/>
  <c r="G30" i="24"/>
  <c r="G38" i="24" s="1"/>
  <c r="G40" i="24" s="1"/>
  <c r="C30" i="24"/>
  <c r="C38" i="24" s="1"/>
  <c r="C40" i="24" s="1"/>
  <c r="C42" i="24" s="1"/>
  <c r="C45" i="24" s="1"/>
  <c r="E30" i="24"/>
  <c r="E38" i="24" s="1"/>
  <c r="E40" i="24" s="1"/>
  <c r="D7" i="24"/>
  <c r="E7" i="24" s="1"/>
  <c r="F7" i="24" s="1"/>
  <c r="G7" i="24" s="1"/>
  <c r="D6" i="24"/>
  <c r="E5" i="24"/>
  <c r="F5" i="24" s="1"/>
  <c r="G5" i="24" s="1"/>
  <c r="C46" i="24" l="1"/>
  <c r="C47" i="24" s="1"/>
  <c r="E6" i="24"/>
  <c r="E33" i="24" s="1"/>
  <c r="E41" i="24" s="1"/>
  <c r="E42" i="24" s="1"/>
  <c r="E45" i="24" s="1"/>
  <c r="D33" i="24"/>
  <c r="D41" i="24" s="1"/>
  <c r="D42" i="24" s="1"/>
  <c r="D45" i="24" s="1"/>
  <c r="D46" i="24" s="1"/>
  <c r="D47" i="24" s="1"/>
  <c r="F6" i="24"/>
  <c r="F33" i="24" s="1"/>
  <c r="F41" i="24" s="1"/>
  <c r="F42" i="24" s="1"/>
  <c r="F45" i="24" s="1"/>
  <c r="F46" i="24" l="1"/>
  <c r="F47" i="24" s="1"/>
  <c r="F23" i="24" s="1"/>
  <c r="B53" i="24"/>
  <c r="D23" i="24"/>
  <c r="E46" i="24"/>
  <c r="E47" i="24" s="1"/>
  <c r="C48" i="24"/>
  <c r="C23" i="24"/>
  <c r="B52" i="24"/>
  <c r="G6" i="24"/>
  <c r="G33" i="24" s="1"/>
  <c r="G41" i="24" s="1"/>
  <c r="G42" i="24" s="1"/>
  <c r="G45" i="24" s="1"/>
  <c r="G46" i="24" s="1"/>
  <c r="G47" i="24" s="1"/>
  <c r="B54" i="24" l="1"/>
  <c r="E23" i="24"/>
  <c r="G23" i="24"/>
  <c r="B56" i="24"/>
  <c r="B55" i="24"/>
  <c r="C24" i="24"/>
  <c r="D37" i="24"/>
  <c r="D48" i="24" s="1"/>
  <c r="B57" i="24" l="1"/>
  <c r="G25" i="24" s="1"/>
  <c r="E37" i="24"/>
  <c r="E48" i="24" s="1"/>
  <c r="D24" i="24"/>
  <c r="E24" i="24" l="1"/>
  <c r="F37" i="24"/>
  <c r="F48" i="24" s="1"/>
  <c r="G37" i="24" l="1"/>
  <c r="G48" i="24" s="1"/>
  <c r="G24" i="24" s="1"/>
  <c r="F24" i="24"/>
</calcChain>
</file>

<file path=xl/sharedStrings.xml><?xml version="1.0" encoding="utf-8"?>
<sst xmlns="http://schemas.openxmlformats.org/spreadsheetml/2006/main" count="542" uniqueCount="92">
  <si>
    <t>Constants</t>
  </si>
  <si>
    <t>NA</t>
  </si>
  <si>
    <t>Inputs</t>
  </si>
  <si>
    <t>Summary of Key Results</t>
  </si>
  <si>
    <t>Calculations</t>
  </si>
  <si>
    <t xml:space="preserve">   Net Income After Taxes</t>
  </si>
  <si>
    <t xml:space="preserve">   End-of-year Cash on hand</t>
  </si>
  <si>
    <t>Income and Cash Flow Statements</t>
  </si>
  <si>
    <t xml:space="preserve">   Gross Profit</t>
  </si>
  <si>
    <t xml:space="preserve">   Net Profit before Income Tax</t>
  </si>
  <si>
    <t xml:space="preserve">     less:  Income Tax Expense</t>
  </si>
  <si>
    <t xml:space="preserve">   Internal Rate of Return for Investment</t>
  </si>
  <si>
    <t xml:space="preserve">   Corporate Income Tax Rate</t>
  </si>
  <si>
    <t xml:space="preserve">  Internal Rate of Return (IRR)</t>
  </si>
  <si>
    <t>Internal Rate of Return Calculation</t>
  </si>
  <si>
    <t xml:space="preserve">   Net Income after Taxes (Cash Inflow)</t>
  </si>
  <si>
    <t xml:space="preserve">  Cash Inflow   2015</t>
  </si>
  <si>
    <t xml:space="preserve">   Capital Investment for Hydroelectric Plant</t>
  </si>
  <si>
    <t xml:space="preserve">   Capital Investment for Fuel Cell Plant</t>
  </si>
  <si>
    <t xml:space="preserve"> </t>
  </si>
  <si>
    <t xml:space="preserve">   Operating Cost per Megawatt-Hour   Hydroelectric Plant</t>
  </si>
  <si>
    <t xml:space="preserve">   Operating Cost per Megawatt-Hour   Methane Fuel Cell Plant (base)</t>
  </si>
  <si>
    <t xml:space="preserve">   Hours of Scheduled Operation in a Year, Fuel Cell Power Plant</t>
  </si>
  <si>
    <t xml:space="preserve">   Hours of Scheduled Operation in a Year, Hydroelectric Plant</t>
  </si>
  <si>
    <t xml:space="preserve">   Carbon Credits available for sale  Hydroelectric Plant</t>
  </si>
  <si>
    <t xml:space="preserve">   Beginning-of-year Cash on Hand (deduct Investment for 2014)</t>
  </si>
  <si>
    <t xml:space="preserve">   Generation Capacity of Fuel Cell  Plant, Megawatts</t>
  </si>
  <si>
    <t xml:space="preserve">   Generation Capacity of Hydroelectric Plant, Megawatts</t>
  </si>
  <si>
    <t xml:space="preserve">   Estimated Market Price per Megawatt-Hour</t>
  </si>
  <si>
    <t xml:space="preserve">   Weather Outlook  (M=Mild, S=Severe)</t>
  </si>
  <si>
    <t xml:space="preserve">   Total Revenues</t>
  </si>
  <si>
    <t xml:space="preserve">   Electricity Sales</t>
  </si>
  <si>
    <t xml:space="preserve">   Carbon Credit Sales</t>
  </si>
  <si>
    <t xml:space="preserve">      less:  Operating Costs</t>
  </si>
  <si>
    <t xml:space="preserve">  Investment (Cash Outflow--2014) </t>
  </si>
  <si>
    <t xml:space="preserve">  Cash Inflow   2016</t>
  </si>
  <si>
    <t xml:space="preserve">  Cash Inflow   2017</t>
  </si>
  <si>
    <t xml:space="preserve">  Cash Inflow   2018</t>
  </si>
  <si>
    <t xml:space="preserve">  Cash Inflow   2019</t>
  </si>
  <si>
    <t xml:space="preserve">     less:   Bond Payment (Hydroelectric Plant only)</t>
  </si>
  <si>
    <r>
      <t xml:space="preserve">     </t>
    </r>
    <r>
      <rPr>
        <sz val="10"/>
        <color theme="1"/>
        <rFont val="Arial"/>
        <family val="2"/>
      </rPr>
      <t>less:  Period Costs Allocated</t>
    </r>
  </si>
  <si>
    <t xml:space="preserve">  Amount of Bond (Principal)</t>
  </si>
  <si>
    <t xml:space="preserve">  Term of Bond (Yrs)</t>
  </si>
  <si>
    <t xml:space="preserve">  Interest Rate </t>
  </si>
  <si>
    <t xml:space="preserve">  Annual Payment</t>
  </si>
  <si>
    <t>Bond Payment Calculation (Hydroelectric Plant)</t>
  </si>
  <si>
    <t xml:space="preserve">   End-of-year Cash on Hand </t>
  </si>
  <si>
    <t xml:space="preserve">   Market Price of Methane (L=Low, H=High)</t>
  </si>
  <si>
    <t xml:space="preserve">   Annual Operating Cost for Methane Fuel Cell Plant</t>
  </si>
  <si>
    <t xml:space="preserve">   Annual Operating Cost for Hydroelectric Plant</t>
  </si>
  <si>
    <t xml:space="preserve">   Forecasted Additional Market Demand for Energy--MW</t>
  </si>
  <si>
    <t xml:space="preserve">   Period Cost Allocation (Sales, General, &amp; Administrative )</t>
  </si>
  <si>
    <t xml:space="preserve">   Annual Electricity Sales</t>
  </si>
  <si>
    <t xml:space="preserve">   Annual Carbon Credit Sales (Hydroelectric Only)</t>
  </si>
  <si>
    <t xml:space="preserve">   Available Additional Generation Capacity for Sale</t>
  </si>
  <si>
    <t xml:space="preserve">   Investment Selection (W=Hydroelectric,  F=Methane Fuel Cell)</t>
  </si>
  <si>
    <t>New England Energy  Strategic Investment Decision</t>
  </si>
  <si>
    <t xml:space="preserve">   Estimated Sales Price for Carbon Credit </t>
  </si>
  <si>
    <t>M</t>
  </si>
  <si>
    <t>L</t>
  </si>
  <si>
    <t>W</t>
  </si>
  <si>
    <t>$B$19</t>
  </si>
  <si>
    <t>$B$20</t>
  </si>
  <si>
    <t>$G$23</t>
  </si>
  <si>
    <t>$G$24</t>
  </si>
  <si>
    <t>$G$25</t>
  </si>
  <si>
    <t>Created by Bradley on 11/29/2014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</si>
  <si>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</si>
  <si>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</si>
  <si>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</si>
  <si>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</si>
  <si>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</si>
  <si>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</si>
  <si>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</si>
  <si>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M/L/W</t>
  </si>
  <si>
    <t>M/H/W</t>
  </si>
  <si>
    <t>H</t>
  </si>
  <si>
    <t>S/L/W</t>
  </si>
  <si>
    <t>S</t>
  </si>
  <si>
    <t>S/H/W</t>
  </si>
  <si>
    <t>M/L/F</t>
  </si>
  <si>
    <t>F</t>
  </si>
  <si>
    <t>M/H/F</t>
  </si>
  <si>
    <t>S/L/F</t>
  </si>
  <si>
    <t>S/H/F</t>
  </si>
  <si>
    <t>Weather Outlook (M/S)</t>
  </si>
  <si>
    <t>Market Price of Methane (L/H)</t>
  </si>
  <si>
    <t>Investment Selection (W/F)</t>
  </si>
  <si>
    <t>Net Income After Taxes</t>
  </si>
  <si>
    <t>End-Of-Year Cash on Hand</t>
  </si>
  <si>
    <t>Internal Rate of Return for Investment</t>
  </si>
  <si>
    <t>Weather Outlook (M/L)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</si>
</sst>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6" fontId="3" fillId="0" borderId="0" xfId="0" applyNumberFormat="1" applyFont="1"/>
    <xf numFmtId="9" fontId="3" fillId="0" borderId="0" xfId="0" applyNumberFormat="1" applyFont="1"/>
    <xf numFmtId="0" fontId="6" fillId="0" borderId="0" xfId="0" applyFont="1"/>
    <xf numFmtId="0" fontId="3" fillId="0" borderId="0" xfId="0" applyFont="1" applyBorder="1"/>
    <xf numFmtId="3" fontId="3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3" fillId="0" borderId="4" xfId="0" applyFont="1" applyBorder="1"/>
    <xf numFmtId="6" fontId="3" fillId="0" borderId="5" xfId="0" applyNumberFormat="1" applyFont="1" applyBorder="1"/>
    <xf numFmtId="0" fontId="3" fillId="0" borderId="6" xfId="0" applyFont="1" applyBorder="1"/>
    <xf numFmtId="6" fontId="3" fillId="0" borderId="7" xfId="0" applyNumberFormat="1" applyFont="1" applyBorder="1"/>
    <xf numFmtId="0" fontId="3" fillId="0" borderId="8" xfId="0" applyFont="1" applyBorder="1"/>
    <xf numFmtId="0" fontId="2" fillId="0" borderId="7" xfId="0" applyFont="1" applyBorder="1"/>
    <xf numFmtId="8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6" fontId="2" fillId="0" borderId="5" xfId="0" applyNumberFormat="1" applyFont="1" applyBorder="1"/>
    <xf numFmtId="9" fontId="2" fillId="0" borderId="7" xfId="0" applyNumberFormat="1" applyFont="1" applyBorder="1"/>
    <xf numFmtId="6" fontId="2" fillId="0" borderId="9" xfId="0" applyNumberFormat="1" applyFont="1" applyBorder="1"/>
    <xf numFmtId="9" fontId="3" fillId="0" borderId="11" xfId="1" applyFont="1" applyBorder="1"/>
    <xf numFmtId="9" fontId="2" fillId="0" borderId="9" xfId="0" applyNumberFormat="1" applyFont="1" applyBorder="1"/>
    <xf numFmtId="0" fontId="0" fillId="0" borderId="0" xfId="0" applyFill="1" applyBorder="1" applyAlignment="1"/>
    <xf numFmtId="6" fontId="0" fillId="0" borderId="0" xfId="0" applyNumberFormat="1" applyFill="1" applyBorder="1" applyAlignment="1"/>
    <xf numFmtId="9" fontId="0" fillId="0" borderId="1" xfId="0" applyNumberFormat="1" applyFill="1" applyBorder="1" applyAlignment="1"/>
    <xf numFmtId="0" fontId="8" fillId="3" borderId="12" xfId="0" applyFont="1" applyFill="1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0" fillId="0" borderId="13" xfId="0" applyFill="1" applyBorder="1" applyAlignment="1"/>
    <xf numFmtId="0" fontId="9" fillId="4" borderId="0" xfId="0" applyFont="1" applyFill="1" applyBorder="1" applyAlignment="1">
      <alignment horizontal="left"/>
    </xf>
    <xf numFmtId="0" fontId="10" fillId="4" borderId="13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right"/>
    </xf>
    <xf numFmtId="0" fontId="11" fillId="3" borderId="12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L15"/>
  <sheetViews>
    <sheetView showGridLines="0" workbookViewId="0">
      <selection activeCell="C12" sqref="C12"/>
    </sheetView>
  </sheetViews>
  <sheetFormatPr defaultRowHeight="15" outlineLevelRow="1" outlineLevelCol="1" x14ac:dyDescent="0.25"/>
  <cols>
    <col min="2" max="2" width="0.5703125" customWidth="1"/>
    <col min="3" max="3" width="34.85546875" customWidth="1"/>
    <col min="4" max="12" width="14.5703125" bestFit="1" customWidth="1" outlineLevel="1"/>
  </cols>
  <sheetData>
    <row r="1" spans="2:12" ht="15.75" thickBot="1" x14ac:dyDescent="0.3"/>
    <row r="2" spans="2:12" ht="15.75" x14ac:dyDescent="0.25">
      <c r="B2" s="32" t="s">
        <v>67</v>
      </c>
      <c r="C2" s="32"/>
      <c r="D2" s="37"/>
      <c r="E2" s="37"/>
      <c r="F2" s="37"/>
      <c r="G2" s="37"/>
      <c r="H2" s="37"/>
      <c r="I2" s="37"/>
      <c r="J2" s="37"/>
      <c r="K2" s="37"/>
      <c r="L2" s="37"/>
    </row>
    <row r="3" spans="2:12" ht="15.75" collapsed="1" x14ac:dyDescent="0.25">
      <c r="B3" s="31"/>
      <c r="C3" s="31"/>
      <c r="D3" s="38" t="s">
        <v>69</v>
      </c>
      <c r="E3" s="38" t="s">
        <v>74</v>
      </c>
      <c r="F3" s="38" t="s">
        <v>75</v>
      </c>
      <c r="G3" s="38" t="s">
        <v>77</v>
      </c>
      <c r="H3" s="38" t="s">
        <v>79</v>
      </c>
      <c r="I3" s="38" t="s">
        <v>80</v>
      </c>
      <c r="J3" s="38" t="s">
        <v>82</v>
      </c>
      <c r="K3" s="38" t="s">
        <v>83</v>
      </c>
      <c r="L3" s="38" t="s">
        <v>84</v>
      </c>
    </row>
    <row r="4" spans="2:12" ht="22.5" hidden="1" outlineLevel="1" x14ac:dyDescent="0.25">
      <c r="B4" s="34"/>
      <c r="C4" s="34"/>
      <c r="D4" s="28"/>
      <c r="E4" s="39" t="s">
        <v>66</v>
      </c>
      <c r="F4" s="39" t="s">
        <v>66</v>
      </c>
      <c r="G4" s="39" t="s">
        <v>66</v>
      </c>
      <c r="H4" s="39" t="s">
        <v>66</v>
      </c>
      <c r="I4" s="39" t="s">
        <v>66</v>
      </c>
      <c r="J4" s="39" t="s">
        <v>66</v>
      </c>
      <c r="K4" s="39" t="s">
        <v>66</v>
      </c>
      <c r="L4" s="39" t="s">
        <v>66</v>
      </c>
    </row>
    <row r="5" spans="2:12" x14ac:dyDescent="0.25">
      <c r="B5" s="35" t="s">
        <v>68</v>
      </c>
      <c r="C5" s="35"/>
      <c r="D5" s="33"/>
      <c r="E5" s="33"/>
      <c r="F5" s="33"/>
      <c r="G5" s="33"/>
      <c r="H5" s="33"/>
      <c r="I5" s="33"/>
      <c r="J5" s="33"/>
      <c r="K5" s="33"/>
      <c r="L5" s="33"/>
    </row>
    <row r="6" spans="2:12" outlineLevel="1" x14ac:dyDescent="0.25">
      <c r="B6" s="34"/>
      <c r="C6" s="34" t="s">
        <v>85</v>
      </c>
      <c r="D6" s="40" t="s">
        <v>58</v>
      </c>
      <c r="E6" s="41" t="s">
        <v>58</v>
      </c>
      <c r="F6" s="41" t="s">
        <v>58</v>
      </c>
      <c r="G6" s="41" t="s">
        <v>78</v>
      </c>
      <c r="H6" s="41" t="s">
        <v>78</v>
      </c>
      <c r="I6" s="41" t="s">
        <v>58</v>
      </c>
      <c r="J6" s="41" t="s">
        <v>58</v>
      </c>
      <c r="K6" s="41" t="s">
        <v>78</v>
      </c>
      <c r="L6" s="41" t="s">
        <v>78</v>
      </c>
    </row>
    <row r="7" spans="2:12" outlineLevel="1" x14ac:dyDescent="0.25">
      <c r="B7" s="34"/>
      <c r="C7" s="34" t="s">
        <v>86</v>
      </c>
      <c r="D7" s="40" t="s">
        <v>59</v>
      </c>
      <c r="E7" s="41" t="s">
        <v>59</v>
      </c>
      <c r="F7" s="41" t="s">
        <v>76</v>
      </c>
      <c r="G7" s="41" t="s">
        <v>59</v>
      </c>
      <c r="H7" s="41" t="s">
        <v>76</v>
      </c>
      <c r="I7" s="41" t="s">
        <v>59</v>
      </c>
      <c r="J7" s="41" t="s">
        <v>76</v>
      </c>
      <c r="K7" s="41" t="s">
        <v>59</v>
      </c>
      <c r="L7" s="41" t="s">
        <v>76</v>
      </c>
    </row>
    <row r="8" spans="2:12" outlineLevel="1" x14ac:dyDescent="0.25">
      <c r="B8" s="34"/>
      <c r="C8" s="34" t="s">
        <v>87</v>
      </c>
      <c r="D8" s="40" t="s">
        <v>60</v>
      </c>
      <c r="E8" s="41" t="s">
        <v>60</v>
      </c>
      <c r="F8" s="41" t="s">
        <v>60</v>
      </c>
      <c r="G8" s="41" t="s">
        <v>60</v>
      </c>
      <c r="H8" s="41" t="s">
        <v>60</v>
      </c>
      <c r="I8" s="41" t="s">
        <v>81</v>
      </c>
      <c r="J8" s="41" t="s">
        <v>81</v>
      </c>
      <c r="K8" s="41" t="s">
        <v>81</v>
      </c>
      <c r="L8" s="41" t="s">
        <v>81</v>
      </c>
    </row>
    <row r="9" spans="2:12" x14ac:dyDescent="0.25">
      <c r="B9" s="35" t="s">
        <v>70</v>
      </c>
      <c r="C9" s="35"/>
      <c r="D9" s="33"/>
      <c r="E9" s="33"/>
      <c r="F9" s="33"/>
      <c r="G9" s="33"/>
      <c r="H9" s="33"/>
      <c r="I9" s="33"/>
      <c r="J9" s="33"/>
      <c r="K9" s="33"/>
      <c r="L9" s="33"/>
    </row>
    <row r="10" spans="2:12" outlineLevel="1" x14ac:dyDescent="0.25">
      <c r="B10" s="34"/>
      <c r="C10" s="34" t="s">
        <v>88</v>
      </c>
      <c r="D10" s="29">
        <v>605972607.50742102</v>
      </c>
      <c r="E10" s="29">
        <v>605972607.50742102</v>
      </c>
      <c r="F10" s="29">
        <v>605972607.50742102</v>
      </c>
      <c r="G10" s="29">
        <v>962531794.13160002</v>
      </c>
      <c r="H10" s="29">
        <v>962531794.13160002</v>
      </c>
      <c r="I10" s="29">
        <v>418142353.54644299</v>
      </c>
      <c r="J10" s="29">
        <v>278366801.05939603</v>
      </c>
      <c r="K10" s="29">
        <v>418142353.54644299</v>
      </c>
      <c r="L10" s="29">
        <v>278366801.05939603</v>
      </c>
    </row>
    <row r="11" spans="2:12" outlineLevel="1" x14ac:dyDescent="0.25">
      <c r="B11" s="34"/>
      <c r="C11" s="34" t="s">
        <v>89</v>
      </c>
      <c r="D11" s="29">
        <v>2079925007.2261901</v>
      </c>
      <c r="E11" s="29">
        <v>2079925007.2261901</v>
      </c>
      <c r="F11" s="29">
        <v>2079925007.2261901</v>
      </c>
      <c r="G11" s="29">
        <v>3139828214.9475198</v>
      </c>
      <c r="H11" s="29">
        <v>3139828214.9475198</v>
      </c>
      <c r="I11" s="29">
        <v>1981951829.20383</v>
      </c>
      <c r="J11" s="29">
        <v>1315657289.2808399</v>
      </c>
      <c r="K11" s="29">
        <v>2088784867.06973</v>
      </c>
      <c r="L11" s="29">
        <v>1422490327.14675</v>
      </c>
    </row>
    <row r="12" spans="2:12" ht="15.75" outlineLevel="1" thickBot="1" x14ac:dyDescent="0.3">
      <c r="B12" s="36"/>
      <c r="C12" s="36" t="s">
        <v>90</v>
      </c>
      <c r="D12" s="30">
        <v>0.18177082718648399</v>
      </c>
      <c r="E12" s="30">
        <v>0.18177082718648399</v>
      </c>
      <c r="F12" s="30">
        <v>0.18177082718648399</v>
      </c>
      <c r="G12" s="30">
        <v>0.33566710839024799</v>
      </c>
      <c r="H12" s="30">
        <v>0.33566710839024799</v>
      </c>
      <c r="I12" s="30">
        <v>0.22564306487365099</v>
      </c>
      <c r="J12" s="30">
        <v>3.6380337917181399E-2</v>
      </c>
      <c r="K12" s="30">
        <v>0.26440179938824299</v>
      </c>
      <c r="L12" s="30">
        <v>7.2373050852203399E-2</v>
      </c>
    </row>
    <row r="13" spans="2:12" x14ac:dyDescent="0.25">
      <c r="B13" t="s">
        <v>71</v>
      </c>
    </row>
    <row r="14" spans="2:12" x14ac:dyDescent="0.25">
      <c r="B14" t="s">
        <v>72</v>
      </c>
    </row>
    <row r="15" spans="2:12" x14ac:dyDescent="0.25">
      <c r="B15" t="s">
        <v>73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opLeftCell="A34" workbookViewId="0">
      <selection activeCell="I20" sqref="I20"/>
    </sheetView>
  </sheetViews>
  <sheetFormatPr defaultRowHeight="14.25" x14ac:dyDescent="0.2"/>
  <cols>
    <col min="1" max="1" width="59.28515625" style="1" customWidth="1"/>
    <col min="2" max="3" width="15.5703125" style="1" customWidth="1"/>
    <col min="4" max="4" width="17.7109375" style="1" customWidth="1"/>
    <col min="5" max="5" width="15.5703125" style="1" customWidth="1"/>
    <col min="6" max="7" width="15.7109375" style="1" customWidth="1"/>
    <col min="8" max="16384" width="9.140625" style="1"/>
  </cols>
  <sheetData>
    <row r="1" spans="1:7" ht="18" x14ac:dyDescent="0.25">
      <c r="A1" s="48" t="s">
        <v>56</v>
      </c>
      <c r="B1" s="48"/>
      <c r="C1" s="48"/>
      <c r="D1" s="48"/>
      <c r="E1" s="48"/>
      <c r="F1" s="48"/>
      <c r="G1" s="48"/>
    </row>
    <row r="3" spans="1:7" ht="15.75" thickBot="1" x14ac:dyDescent="0.3">
      <c r="A3" s="2" t="s">
        <v>0</v>
      </c>
      <c r="B3" s="3">
        <v>2014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</row>
    <row r="4" spans="1:7" x14ac:dyDescent="0.2">
      <c r="A4" s="4" t="s">
        <v>24</v>
      </c>
      <c r="B4" s="5" t="s">
        <v>1</v>
      </c>
      <c r="C4" s="5" t="s">
        <v>1</v>
      </c>
      <c r="D4" s="22">
        <v>200000</v>
      </c>
      <c r="E4" s="22">
        <v>200000</v>
      </c>
      <c r="F4" s="22">
        <v>200000</v>
      </c>
      <c r="G4" s="22">
        <v>200000</v>
      </c>
    </row>
    <row r="5" spans="1:7" x14ac:dyDescent="0.2">
      <c r="A5" s="4" t="s">
        <v>20</v>
      </c>
      <c r="B5" s="5" t="s">
        <v>1</v>
      </c>
      <c r="C5" s="5" t="s">
        <v>1</v>
      </c>
      <c r="D5" s="20">
        <v>20</v>
      </c>
      <c r="E5" s="20">
        <f t="shared" ref="E5:G6" si="0">D5*1.03</f>
        <v>20.6</v>
      </c>
      <c r="F5" s="20">
        <f t="shared" si="0"/>
        <v>21.218000000000004</v>
      </c>
      <c r="G5" s="20">
        <f t="shared" si="0"/>
        <v>21.854540000000004</v>
      </c>
    </row>
    <row r="6" spans="1:7" x14ac:dyDescent="0.2">
      <c r="A6" s="4" t="s">
        <v>21</v>
      </c>
      <c r="B6" s="5" t="s">
        <v>1</v>
      </c>
      <c r="C6" s="20">
        <v>45</v>
      </c>
      <c r="D6" s="20">
        <f>C6*1.03</f>
        <v>46.35</v>
      </c>
      <c r="E6" s="20">
        <f t="shared" si="0"/>
        <v>47.740500000000004</v>
      </c>
      <c r="F6" s="20">
        <f t="shared" si="0"/>
        <v>49.172715000000004</v>
      </c>
      <c r="G6" s="20">
        <f t="shared" si="0"/>
        <v>50.647896450000005</v>
      </c>
    </row>
    <row r="7" spans="1:7" x14ac:dyDescent="0.2">
      <c r="A7" s="4" t="s">
        <v>28</v>
      </c>
      <c r="B7" s="5" t="s">
        <v>1</v>
      </c>
      <c r="C7" s="20">
        <v>70</v>
      </c>
      <c r="D7" s="20">
        <f>C7*1.05</f>
        <v>73.5</v>
      </c>
      <c r="E7" s="20">
        <f t="shared" ref="E7:G7" si="1">D7*1.05</f>
        <v>77.174999999999997</v>
      </c>
      <c r="F7" s="20">
        <f t="shared" si="1"/>
        <v>81.033749999999998</v>
      </c>
      <c r="G7" s="20">
        <f t="shared" si="1"/>
        <v>85.085437499999998</v>
      </c>
    </row>
    <row r="8" spans="1:7" x14ac:dyDescent="0.2">
      <c r="A8" s="4" t="s">
        <v>57</v>
      </c>
      <c r="B8" s="5" t="s">
        <v>1</v>
      </c>
      <c r="C8" s="20">
        <v>80</v>
      </c>
      <c r="D8" s="20">
        <v>82</v>
      </c>
      <c r="E8" s="20">
        <v>84</v>
      </c>
      <c r="F8" s="20">
        <v>86</v>
      </c>
      <c r="G8" s="20">
        <v>88</v>
      </c>
    </row>
    <row r="9" spans="1:7" x14ac:dyDescent="0.2">
      <c r="A9" s="4" t="s">
        <v>23</v>
      </c>
      <c r="B9" s="21">
        <v>8424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</row>
    <row r="10" spans="1:7" x14ac:dyDescent="0.2">
      <c r="A10" s="4" t="s">
        <v>22</v>
      </c>
      <c r="B10" s="21">
        <v>8592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</row>
    <row r="11" spans="1:7" x14ac:dyDescent="0.2">
      <c r="A11" s="4" t="s">
        <v>17</v>
      </c>
      <c r="B11" s="8">
        <v>2000000000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</row>
    <row r="12" spans="1:7" x14ac:dyDescent="0.2">
      <c r="A12" s="4" t="s">
        <v>18</v>
      </c>
      <c r="B12" s="8">
        <v>900000000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</row>
    <row r="13" spans="1:7" x14ac:dyDescent="0.2">
      <c r="A13" s="4" t="s">
        <v>27</v>
      </c>
      <c r="B13" s="22">
        <v>3000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</row>
    <row r="14" spans="1:7" x14ac:dyDescent="0.2">
      <c r="A14" s="4" t="s">
        <v>26</v>
      </c>
      <c r="B14" s="22">
        <v>2200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</row>
    <row r="15" spans="1:7" x14ac:dyDescent="0.2">
      <c r="A15" s="4" t="s">
        <v>12</v>
      </c>
      <c r="B15" s="9">
        <v>0.25</v>
      </c>
      <c r="C15" s="9">
        <v>0.25</v>
      </c>
      <c r="D15" s="9">
        <v>0.26</v>
      </c>
      <c r="E15" s="9">
        <v>0.26</v>
      </c>
      <c r="F15" s="9">
        <v>0.27</v>
      </c>
      <c r="G15" s="9">
        <v>0.27</v>
      </c>
    </row>
    <row r="17" spans="1:7" ht="15.75" thickBot="1" x14ac:dyDescent="0.3">
      <c r="A17" s="2" t="s">
        <v>2</v>
      </c>
      <c r="B17" s="3" t="s">
        <v>19</v>
      </c>
    </row>
    <row r="18" spans="1:7" x14ac:dyDescent="0.2">
      <c r="A18" s="4" t="s">
        <v>29</v>
      </c>
      <c r="B18" s="6" t="s">
        <v>58</v>
      </c>
    </row>
    <row r="19" spans="1:7" x14ac:dyDescent="0.2">
      <c r="A19" s="4" t="s">
        <v>47</v>
      </c>
      <c r="B19" s="7" t="s">
        <v>59</v>
      </c>
    </row>
    <row r="20" spans="1:7" x14ac:dyDescent="0.2">
      <c r="A20" s="4" t="s">
        <v>55</v>
      </c>
      <c r="B20" s="7" t="s">
        <v>60</v>
      </c>
    </row>
    <row r="22" spans="1:7" ht="15.75" thickBot="1" x14ac:dyDescent="0.3">
      <c r="A22" s="2" t="s">
        <v>3</v>
      </c>
      <c r="B22" s="3">
        <v>2014</v>
      </c>
      <c r="C22" s="3">
        <v>2015</v>
      </c>
      <c r="D22" s="3">
        <v>2016</v>
      </c>
      <c r="E22" s="3">
        <v>2017</v>
      </c>
      <c r="F22" s="3">
        <v>2018</v>
      </c>
      <c r="G22" s="3">
        <v>2019</v>
      </c>
    </row>
    <row r="23" spans="1:7" x14ac:dyDescent="0.2">
      <c r="A23" s="4" t="s">
        <v>5</v>
      </c>
      <c r="B23" s="5" t="s">
        <v>1</v>
      </c>
      <c r="C23" s="8">
        <f>C47</f>
        <v>-123290944.33013654</v>
      </c>
      <c r="D23" s="8">
        <f t="shared" ref="D23:G23" si="2">D47</f>
        <v>401384310.84369898</v>
      </c>
      <c r="E23" s="8">
        <f t="shared" si="2"/>
        <v>466161533.43001103</v>
      </c>
      <c r="F23" s="8">
        <f t="shared" si="2"/>
        <v>529697499.77520037</v>
      </c>
      <c r="G23" s="8">
        <f t="shared" si="2"/>
        <v>605972607.5074209</v>
      </c>
    </row>
    <row r="24" spans="1:7" ht="15" thickBot="1" x14ac:dyDescent="0.25">
      <c r="A24" s="4" t="s">
        <v>6</v>
      </c>
      <c r="B24" s="5" t="s">
        <v>1</v>
      </c>
      <c r="C24" s="8">
        <f>C48</f>
        <v>76709055.669863462</v>
      </c>
      <c r="D24" s="8">
        <f t="shared" ref="D24:G24" si="3">D48</f>
        <v>478093366.51356244</v>
      </c>
      <c r="E24" s="8">
        <f t="shared" si="3"/>
        <v>944254899.94357347</v>
      </c>
      <c r="F24" s="8">
        <f t="shared" si="3"/>
        <v>1473952399.7187738</v>
      </c>
      <c r="G24" s="8">
        <f t="shared" si="3"/>
        <v>2079925007.2261949</v>
      </c>
    </row>
    <row r="25" spans="1:7" ht="15" thickBot="1" x14ac:dyDescent="0.25">
      <c r="A25" s="4" t="s">
        <v>11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26">
        <f>B57</f>
        <v>0.18177082718648352</v>
      </c>
    </row>
    <row r="27" spans="1:7" ht="15.75" thickBot="1" x14ac:dyDescent="0.3">
      <c r="A27" s="2" t="s">
        <v>4</v>
      </c>
      <c r="B27" s="3">
        <v>2014</v>
      </c>
      <c r="C27" s="3">
        <v>2015</v>
      </c>
      <c r="D27" s="3">
        <v>2016</v>
      </c>
      <c r="E27" s="3">
        <v>2017</v>
      </c>
      <c r="F27" s="3">
        <v>2018</v>
      </c>
      <c r="G27" s="3">
        <v>2019</v>
      </c>
    </row>
    <row r="28" spans="1:7" x14ac:dyDescent="0.2">
      <c r="A28" s="11" t="s">
        <v>50</v>
      </c>
      <c r="B28" s="12">
        <v>2000</v>
      </c>
      <c r="C28" s="12">
        <f>IF($B$18="M", B28*1.03, B28*1.1)</f>
        <v>2060</v>
      </c>
      <c r="D28" s="12">
        <f t="shared" ref="D28:G28" si="4">IF($B$18="M", C28*1.03, C28*1.1)</f>
        <v>2121.8000000000002</v>
      </c>
      <c r="E28" s="12">
        <f t="shared" si="4"/>
        <v>2185.4540000000002</v>
      </c>
      <c r="F28" s="12">
        <f t="shared" si="4"/>
        <v>2251.0176200000001</v>
      </c>
      <c r="G28" s="12">
        <f t="shared" si="4"/>
        <v>2318.5481486000003</v>
      </c>
    </row>
    <row r="29" spans="1:7" x14ac:dyDescent="0.2">
      <c r="A29" s="11" t="s">
        <v>54</v>
      </c>
      <c r="B29" s="5" t="s">
        <v>1</v>
      </c>
      <c r="C29" s="12">
        <f>IF($B$20="W", 0, B14)</f>
        <v>0</v>
      </c>
      <c r="D29" s="12">
        <f>IF($B$20="W", $B$13, $B$14)</f>
        <v>3000</v>
      </c>
      <c r="E29" s="12">
        <f t="shared" ref="E29:G29" si="5">IF($B$20="W", $B$13, $B$14)</f>
        <v>3000</v>
      </c>
      <c r="F29" s="12">
        <f t="shared" si="5"/>
        <v>3000</v>
      </c>
      <c r="G29" s="12">
        <f t="shared" si="5"/>
        <v>3000</v>
      </c>
    </row>
    <row r="30" spans="1:7" x14ac:dyDescent="0.2">
      <c r="A30" s="11" t="s">
        <v>52</v>
      </c>
      <c r="B30" s="5" t="s">
        <v>1</v>
      </c>
      <c r="C30" s="8">
        <f>(MIN(C28, C29))*($C$7)*(B10)</f>
        <v>0</v>
      </c>
      <c r="D30" s="8">
        <f>IF($B$20="W", (MIN(D28, D29))*(D7*$B$9), (MIN(D28, D29))*(D7*$B$10))</f>
        <v>1313742175.2</v>
      </c>
      <c r="E30" s="8">
        <f t="shared" ref="E30:G30" si="6">IF($B$20="W", (MIN(E28, E29))*(E7*$B$9), (MIN(E28, E29))*(E7*$B$10))</f>
        <v>1420812162.4788001</v>
      </c>
      <c r="F30" s="8">
        <f t="shared" si="6"/>
        <v>1536608353.7208221</v>
      </c>
      <c r="G30" s="8">
        <f t="shared" si="6"/>
        <v>1661841934.5490694</v>
      </c>
    </row>
    <row r="31" spans="1:7" x14ac:dyDescent="0.2">
      <c r="A31" s="11" t="s">
        <v>53</v>
      </c>
      <c r="B31" s="5" t="s">
        <v>1</v>
      </c>
      <c r="C31" s="5" t="s">
        <v>1</v>
      </c>
      <c r="D31" s="8">
        <f>IF($B$20="W", D4*D8, 0)</f>
        <v>16400000</v>
      </c>
      <c r="E31" s="8">
        <f t="shared" ref="E31:G31" si="7">IF($B$20="W", E4*E8, 0)</f>
        <v>16800000</v>
      </c>
      <c r="F31" s="8">
        <f t="shared" si="7"/>
        <v>17200000</v>
      </c>
      <c r="G31" s="8">
        <f t="shared" si="7"/>
        <v>17600000</v>
      </c>
    </row>
    <row r="32" spans="1:7" x14ac:dyDescent="0.2">
      <c r="A32" s="11" t="s">
        <v>49</v>
      </c>
      <c r="B32" s="5" t="s">
        <v>1</v>
      </c>
      <c r="C32" s="5" t="s">
        <v>1</v>
      </c>
      <c r="D32" s="8">
        <f>(D5*$B$9*$B$13)</f>
        <v>505440000</v>
      </c>
      <c r="E32" s="8">
        <f t="shared" ref="E32:G32" si="8">(E5*$B$9*$B$13)</f>
        <v>520603200.00000006</v>
      </c>
      <c r="F32" s="8">
        <f t="shared" si="8"/>
        <v>536221296.00000012</v>
      </c>
      <c r="G32" s="8">
        <f t="shared" si="8"/>
        <v>552307934.88000011</v>
      </c>
    </row>
    <row r="33" spans="1:7" x14ac:dyDescent="0.2">
      <c r="A33" s="11" t="s">
        <v>48</v>
      </c>
      <c r="B33" s="5" t="s">
        <v>1</v>
      </c>
      <c r="C33" s="8">
        <f>IF($B$19="L", (C6*$B$10*$B$14)*0.9, (C6*$B$10*$B$14)*1.1)</f>
        <v>765547200</v>
      </c>
      <c r="D33" s="8">
        <f t="shared" ref="D33:G33" si="9">IF($B$19="L", (D6*$B$10*$B$14)*0.9, (D6*$B$10*$B$14)*1.1)</f>
        <v>788513616</v>
      </c>
      <c r="E33" s="8">
        <f t="shared" si="9"/>
        <v>812169024.48000002</v>
      </c>
      <c r="F33" s="8">
        <f t="shared" si="9"/>
        <v>836534095.21440005</v>
      </c>
      <c r="G33" s="8">
        <f t="shared" si="9"/>
        <v>861630118.07083201</v>
      </c>
    </row>
    <row r="34" spans="1:7" x14ac:dyDescent="0.2">
      <c r="A34" s="4" t="s">
        <v>51</v>
      </c>
      <c r="B34" s="8">
        <v>150000000</v>
      </c>
      <c r="C34" s="8">
        <f>IF(B20="W", 0, B34*1.03)</f>
        <v>0</v>
      </c>
      <c r="D34" s="8">
        <f>IF(B20="W", B34*1.06, C34*1.03)</f>
        <v>159000000</v>
      </c>
      <c r="E34" s="8">
        <f>D34*1.03</f>
        <v>163770000</v>
      </c>
      <c r="F34" s="8">
        <f t="shared" ref="F34:G34" si="10">E34*1.03</f>
        <v>168683100</v>
      </c>
      <c r="G34" s="8">
        <f t="shared" si="10"/>
        <v>173743593</v>
      </c>
    </row>
    <row r="36" spans="1:7" ht="15.75" thickBot="1" x14ac:dyDescent="0.3">
      <c r="A36" s="2" t="s">
        <v>7</v>
      </c>
      <c r="B36" s="3">
        <v>2014</v>
      </c>
      <c r="C36" s="3">
        <v>2015</v>
      </c>
      <c r="D36" s="3">
        <v>2016</v>
      </c>
      <c r="E36" s="3">
        <v>2017</v>
      </c>
      <c r="F36" s="3">
        <v>2018</v>
      </c>
      <c r="G36" s="3">
        <v>2019</v>
      </c>
    </row>
    <row r="37" spans="1:7" x14ac:dyDescent="0.2">
      <c r="A37" s="4" t="s">
        <v>25</v>
      </c>
      <c r="B37" s="5" t="s">
        <v>1</v>
      </c>
      <c r="C37" s="8">
        <f>IF(B20="W", B48-(B11-F51), B48-B12)</f>
        <v>200000000</v>
      </c>
      <c r="D37" s="8">
        <f>C48</f>
        <v>76709055.669863462</v>
      </c>
      <c r="E37" s="8">
        <f t="shared" ref="E37:G37" si="11">D48</f>
        <v>478093366.51356244</v>
      </c>
      <c r="F37" s="8">
        <f t="shared" si="11"/>
        <v>944254899.94357347</v>
      </c>
      <c r="G37" s="8">
        <f t="shared" si="11"/>
        <v>1473952399.7187738</v>
      </c>
    </row>
    <row r="38" spans="1:7" x14ac:dyDescent="0.2">
      <c r="A38" s="4" t="s">
        <v>31</v>
      </c>
      <c r="B38" s="5" t="s">
        <v>1</v>
      </c>
      <c r="C38" s="8">
        <f>IF(B20="W", 0, C30)</f>
        <v>0</v>
      </c>
      <c r="D38" s="8">
        <f>D30</f>
        <v>1313742175.2</v>
      </c>
      <c r="E38" s="8">
        <f t="shared" ref="E38:G38" si="12">E30</f>
        <v>1420812162.4788001</v>
      </c>
      <c r="F38" s="8">
        <f t="shared" si="12"/>
        <v>1536608353.7208221</v>
      </c>
      <c r="G38" s="8">
        <f t="shared" si="12"/>
        <v>1661841934.5490694</v>
      </c>
    </row>
    <row r="39" spans="1:7" x14ac:dyDescent="0.2">
      <c r="A39" s="4" t="s">
        <v>32</v>
      </c>
      <c r="B39" s="5" t="s">
        <v>1</v>
      </c>
      <c r="C39" s="5" t="s">
        <v>1</v>
      </c>
      <c r="D39" s="8">
        <f>IF($B$20="W", D31, 0)</f>
        <v>16400000</v>
      </c>
      <c r="E39" s="8">
        <f t="shared" ref="E39:G39" si="13">IF($B$20="W", E31, 0)</f>
        <v>16800000</v>
      </c>
      <c r="F39" s="8">
        <f t="shared" si="13"/>
        <v>17200000</v>
      </c>
      <c r="G39" s="8">
        <f t="shared" si="13"/>
        <v>17600000</v>
      </c>
    </row>
    <row r="40" spans="1:7" x14ac:dyDescent="0.2">
      <c r="A40" s="4" t="s">
        <v>30</v>
      </c>
      <c r="B40" s="5" t="s">
        <v>1</v>
      </c>
      <c r="C40" s="8">
        <f>SUM(C38, C39)</f>
        <v>0</v>
      </c>
      <c r="D40" s="8">
        <f t="shared" ref="D40:G40" si="14">SUM(D38, D39)</f>
        <v>1330142175.2</v>
      </c>
      <c r="E40" s="8">
        <f t="shared" si="14"/>
        <v>1437612162.4788001</v>
      </c>
      <c r="F40" s="8">
        <f t="shared" si="14"/>
        <v>1553808353.7208221</v>
      </c>
      <c r="G40" s="8">
        <f t="shared" si="14"/>
        <v>1679441934.5490694</v>
      </c>
    </row>
    <row r="41" spans="1:7" x14ac:dyDescent="0.2">
      <c r="A41" s="4" t="s">
        <v>33</v>
      </c>
      <c r="B41" s="5" t="s">
        <v>1</v>
      </c>
      <c r="C41" s="8">
        <f>IF(B20="W", 0, C33)</f>
        <v>0</v>
      </c>
      <c r="D41" s="8">
        <f>IF($B$20="W", D32, D33)</f>
        <v>505440000</v>
      </c>
      <c r="E41" s="8">
        <f t="shared" ref="E41:G41" si="15">IF($B$20="W", E32, E33)</f>
        <v>520603200.00000006</v>
      </c>
      <c r="F41" s="8">
        <f t="shared" si="15"/>
        <v>536221296.00000012</v>
      </c>
      <c r="G41" s="8">
        <f t="shared" si="15"/>
        <v>552307934.88000011</v>
      </c>
    </row>
    <row r="42" spans="1:7" x14ac:dyDescent="0.2">
      <c r="A42" s="4" t="s">
        <v>8</v>
      </c>
      <c r="B42" s="5" t="s">
        <v>1</v>
      </c>
      <c r="C42" s="8">
        <f>C40-C41</f>
        <v>0</v>
      </c>
      <c r="D42" s="8">
        <f t="shared" ref="D42:G42" si="16">D40-D41</f>
        <v>824702175.20000005</v>
      </c>
      <c r="E42" s="8">
        <f t="shared" si="16"/>
        <v>917008962.47880006</v>
      </c>
      <c r="F42" s="8">
        <f t="shared" si="16"/>
        <v>1017587057.720822</v>
      </c>
      <c r="G42" s="8">
        <f t="shared" si="16"/>
        <v>1127133999.6690693</v>
      </c>
    </row>
    <row r="43" spans="1:7" x14ac:dyDescent="0.2">
      <c r="A43" s="4" t="s">
        <v>39</v>
      </c>
      <c r="B43" s="5" t="s">
        <v>1</v>
      </c>
      <c r="C43" s="8">
        <f>IF($B$20="W", -($F$54), 0)</f>
        <v>123290944.33013654</v>
      </c>
      <c r="D43" s="8">
        <f t="shared" ref="D43:G43" si="17">IF($B$20="W", -($F$54), 0)</f>
        <v>123290944.33013654</v>
      </c>
      <c r="E43" s="8">
        <f t="shared" si="17"/>
        <v>123290944.33013654</v>
      </c>
      <c r="F43" s="8">
        <f t="shared" si="17"/>
        <v>123290944.33013654</v>
      </c>
      <c r="G43" s="8">
        <f t="shared" si="17"/>
        <v>123290944.33013654</v>
      </c>
    </row>
    <row r="44" spans="1:7" x14ac:dyDescent="0.2">
      <c r="A44" s="10" t="s">
        <v>40</v>
      </c>
      <c r="B44" s="5" t="s">
        <v>1</v>
      </c>
      <c r="C44" s="8">
        <f>C34</f>
        <v>0</v>
      </c>
      <c r="D44" s="8">
        <f t="shared" ref="D44:G44" si="18">D34</f>
        <v>159000000</v>
      </c>
      <c r="E44" s="8">
        <f t="shared" si="18"/>
        <v>163770000</v>
      </c>
      <c r="F44" s="8">
        <f t="shared" si="18"/>
        <v>168683100</v>
      </c>
      <c r="G44" s="8">
        <f t="shared" si="18"/>
        <v>173743593</v>
      </c>
    </row>
    <row r="45" spans="1:7" x14ac:dyDescent="0.2">
      <c r="A45" s="4" t="s">
        <v>9</v>
      </c>
      <c r="B45" s="5" t="s">
        <v>1</v>
      </c>
      <c r="C45" s="8">
        <f>C42-C43-C44</f>
        <v>-123290944.33013654</v>
      </c>
      <c r="D45" s="8">
        <f t="shared" ref="D45:G45" si="19">D42-D43-D44</f>
        <v>542411230.86986351</v>
      </c>
      <c r="E45" s="8">
        <f t="shared" si="19"/>
        <v>629948018.14866352</v>
      </c>
      <c r="F45" s="8">
        <f t="shared" si="19"/>
        <v>725613013.39068544</v>
      </c>
      <c r="G45" s="8">
        <f t="shared" si="19"/>
        <v>830099462.33893275</v>
      </c>
    </row>
    <row r="46" spans="1:7" x14ac:dyDescent="0.2">
      <c r="A46" s="4" t="s">
        <v>10</v>
      </c>
      <c r="B46" s="5" t="s">
        <v>1</v>
      </c>
      <c r="C46" s="8">
        <f>IF(C45&gt;0, C45*C15, 0)</f>
        <v>0</v>
      </c>
      <c r="D46" s="8">
        <f t="shared" ref="D46:G46" si="20">IF(D45&gt;0, D45*D15, 0)</f>
        <v>141026920.02616453</v>
      </c>
      <c r="E46" s="8">
        <f t="shared" si="20"/>
        <v>163786484.71865252</v>
      </c>
      <c r="F46" s="8">
        <f t="shared" si="20"/>
        <v>195915513.61548507</v>
      </c>
      <c r="G46" s="8">
        <f t="shared" si="20"/>
        <v>224126854.83151186</v>
      </c>
    </row>
    <row r="47" spans="1:7" x14ac:dyDescent="0.2">
      <c r="A47" s="4" t="s">
        <v>15</v>
      </c>
      <c r="B47" s="5" t="s">
        <v>1</v>
      </c>
      <c r="C47" s="8">
        <f>C45-C46</f>
        <v>-123290944.33013654</v>
      </c>
      <c r="D47" s="8">
        <f t="shared" ref="D47:G47" si="21">D45-D46</f>
        <v>401384310.84369898</v>
      </c>
      <c r="E47" s="8">
        <f t="shared" si="21"/>
        <v>466161533.43001103</v>
      </c>
      <c r="F47" s="8">
        <f t="shared" si="21"/>
        <v>529697499.77520037</v>
      </c>
      <c r="G47" s="8">
        <f t="shared" si="21"/>
        <v>605972607.5074209</v>
      </c>
    </row>
    <row r="48" spans="1:7" x14ac:dyDescent="0.2">
      <c r="A48" s="4" t="s">
        <v>46</v>
      </c>
      <c r="B48" s="8">
        <v>1200000000</v>
      </c>
      <c r="C48" s="8">
        <f>SUM(C37, C47)</f>
        <v>76709055.669863462</v>
      </c>
      <c r="D48" s="8">
        <f t="shared" ref="D48:G48" si="22">SUM(D37, D47)</f>
        <v>478093366.51356244</v>
      </c>
      <c r="E48" s="8">
        <f t="shared" si="22"/>
        <v>944254899.94357347</v>
      </c>
      <c r="F48" s="8">
        <f t="shared" si="22"/>
        <v>1473952399.7187738</v>
      </c>
      <c r="G48" s="8">
        <f t="shared" si="22"/>
        <v>2079925007.2261949</v>
      </c>
    </row>
    <row r="50" spans="1:6" ht="15.75" thickBot="1" x14ac:dyDescent="0.3">
      <c r="A50" s="13" t="s">
        <v>14</v>
      </c>
      <c r="D50" s="13" t="s">
        <v>45</v>
      </c>
    </row>
    <row r="51" spans="1:6" x14ac:dyDescent="0.2">
      <c r="A51" s="14" t="s">
        <v>34</v>
      </c>
      <c r="B51" s="15">
        <f>IF($B$20="W", -($B$11-$F$51), -($B$12))</f>
        <v>-1000000000</v>
      </c>
      <c r="D51" s="42" t="s">
        <v>41</v>
      </c>
      <c r="E51" s="43"/>
      <c r="F51" s="23">
        <v>1000000000</v>
      </c>
    </row>
    <row r="52" spans="1:6" x14ac:dyDescent="0.2">
      <c r="A52" s="16" t="s">
        <v>16</v>
      </c>
      <c r="B52" s="17">
        <f>C47</f>
        <v>-123290944.33013654</v>
      </c>
      <c r="D52" s="44" t="s">
        <v>42</v>
      </c>
      <c r="E52" s="45"/>
      <c r="F52" s="19">
        <v>10</v>
      </c>
    </row>
    <row r="53" spans="1:6" x14ac:dyDescent="0.2">
      <c r="A53" s="16" t="s">
        <v>35</v>
      </c>
      <c r="B53" s="17">
        <f>D47</f>
        <v>401384310.84369898</v>
      </c>
      <c r="D53" s="44" t="s">
        <v>43</v>
      </c>
      <c r="E53" s="45"/>
      <c r="F53" s="24">
        <v>0.04</v>
      </c>
    </row>
    <row r="54" spans="1:6" ht="15" thickBot="1" x14ac:dyDescent="0.25">
      <c r="A54" s="16" t="s">
        <v>36</v>
      </c>
      <c r="B54" s="17">
        <f>E47</f>
        <v>466161533.43001103</v>
      </c>
      <c r="D54" s="46" t="s">
        <v>44</v>
      </c>
      <c r="E54" s="47"/>
      <c r="F54" s="25">
        <f>PMT(F53,F52,F51)</f>
        <v>-123290944.33013654</v>
      </c>
    </row>
    <row r="55" spans="1:6" x14ac:dyDescent="0.2">
      <c r="A55" s="16" t="s">
        <v>37</v>
      </c>
      <c r="B55" s="17">
        <f>F47</f>
        <v>529697499.77520037</v>
      </c>
      <c r="D55" s="4"/>
    </row>
    <row r="56" spans="1:6" x14ac:dyDescent="0.2">
      <c r="A56" s="16" t="s">
        <v>38</v>
      </c>
      <c r="B56" s="17">
        <f>G47</f>
        <v>605972607.5074209</v>
      </c>
      <c r="D56" s="4"/>
    </row>
    <row r="57" spans="1:6" ht="15" thickBot="1" x14ac:dyDescent="0.25">
      <c r="A57" s="18" t="s">
        <v>13</v>
      </c>
      <c r="B57" s="27">
        <f>IRR(B51:B56)</f>
        <v>0.18177082718648352</v>
      </c>
      <c r="D57" s="4"/>
    </row>
  </sheetData>
  <scenarios current="7" sqref="G23:G25">
    <scenario name="M/L/W" locked="1" count="3" user="Bradley" comment="Created by Bradley on 11/29/2014">
      <inputCells r="B18" val="M"/>
      <inputCells r="B19" val="L"/>
      <inputCells r="B20" val="W"/>
    </scenario>
    <scenario name="M/H/W" locked="1" count="3" user="Bradley" comment="Created by Bradley on 11/29/2014">
      <inputCells r="B18" val="M"/>
      <inputCells r="B19" val="H"/>
      <inputCells r="B20" val="W"/>
    </scenario>
    <scenario name="S/L/W" locked="1" count="3" user="Bradley" comment="Created by Bradley on 11/29/2014">
      <inputCells r="B18" val="S"/>
      <inputCells r="B19" val="L"/>
      <inputCells r="B20" val="W"/>
    </scenario>
    <scenario name="S/H/W" locked="1" count="3" user="Bradley" comment="Created by Bradley on 11/29/2014">
      <inputCells r="B18" val="S"/>
      <inputCells r="B19" val="H"/>
      <inputCells r="B20" val="W"/>
    </scenario>
    <scenario name="M/L/F" locked="1" count="3" user="Bradley" comment="Created by Bradley on 11/29/2014">
      <inputCells r="B18" val="M"/>
      <inputCells r="B19" val="L"/>
      <inputCells r="B20" val="F"/>
    </scenario>
    <scenario name="M/H/F" locked="1" count="3" user="Bradley" comment="Created by Bradley on 11/29/2014">
      <inputCells r="B18" val="M"/>
      <inputCells r="B19" val="H"/>
      <inputCells r="B20" val="F"/>
    </scenario>
    <scenario name="S/L/F" locked="1" count="3" user="Bradley" comment="Created by Bradley on 11/29/2014">
      <inputCells r="B18" val="S"/>
      <inputCells r="B19" val="L"/>
      <inputCells r="B20" val="F"/>
    </scenario>
    <scenario name="S/H/F" locked="1" count="3" user="Bradley" comment="Created by Bradley on 11/29/2014">
      <inputCells r="B18" val="S"/>
      <inputCells r="B19" val="H"/>
      <inputCells r="B20" val="F"/>
    </scenario>
  </scenarios>
  <mergeCells count="5">
    <mergeCell ref="D51:E51"/>
    <mergeCell ref="D52:E52"/>
    <mergeCell ref="D53:E53"/>
    <mergeCell ref="D54:E54"/>
    <mergeCell ref="A1:G1"/>
  </mergeCells>
  <pageMargins left="0.7" right="0.7" top="0.75" bottom="0.75" header="0.3" footer="0.3"/>
  <pageSetup scale="58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L15"/>
  <sheetViews>
    <sheetView showGridLines="0" workbookViewId="0">
      <selection activeCell="F17" sqref="F17"/>
    </sheetView>
  </sheetViews>
  <sheetFormatPr defaultRowHeight="15" outlineLevelRow="1" outlineLevelCol="1" x14ac:dyDescent="0.25"/>
  <cols>
    <col min="1" max="1" width="9.140625" customWidth="1"/>
    <col min="2" max="2" width="36.28515625" customWidth="1"/>
    <col min="3" max="3" width="17.7109375" hidden="1" customWidth="1"/>
    <col min="4" max="12" width="14.5703125" bestFit="1" customWidth="1" outlineLevel="1"/>
  </cols>
  <sheetData>
    <row r="1" spans="2:12" ht="15.75" thickBot="1" x14ac:dyDescent="0.3"/>
    <row r="2" spans="2:12" ht="15.75" x14ac:dyDescent="0.25">
      <c r="B2" s="32" t="s">
        <v>67</v>
      </c>
      <c r="C2" s="32"/>
      <c r="D2" s="37"/>
      <c r="E2" s="37"/>
      <c r="F2" s="37"/>
      <c r="G2" s="37"/>
      <c r="H2" s="37"/>
      <c r="I2" s="37"/>
      <c r="J2" s="37"/>
      <c r="K2" s="37"/>
      <c r="L2" s="37"/>
    </row>
    <row r="3" spans="2:12" ht="15.75" collapsed="1" x14ac:dyDescent="0.25">
      <c r="B3" s="31"/>
      <c r="C3" s="31"/>
      <c r="D3" s="38" t="s">
        <v>69</v>
      </c>
      <c r="E3" s="38" t="s">
        <v>74</v>
      </c>
      <c r="F3" s="38" t="s">
        <v>75</v>
      </c>
      <c r="G3" s="38" t="s">
        <v>77</v>
      </c>
      <c r="H3" s="38" t="s">
        <v>79</v>
      </c>
      <c r="I3" s="38" t="s">
        <v>80</v>
      </c>
      <c r="J3" s="38" t="s">
        <v>82</v>
      </c>
      <c r="K3" s="38" t="s">
        <v>83</v>
      </c>
      <c r="L3" s="38" t="s">
        <v>84</v>
      </c>
    </row>
    <row r="4" spans="2:12" ht="22.5" hidden="1" outlineLevel="1" x14ac:dyDescent="0.25">
      <c r="B4" s="34"/>
      <c r="C4" s="34"/>
      <c r="D4" s="28"/>
      <c r="E4" s="39" t="s">
        <v>66</v>
      </c>
      <c r="F4" s="39" t="s">
        <v>66</v>
      </c>
      <c r="G4" s="39" t="s">
        <v>66</v>
      </c>
      <c r="H4" s="39" t="s">
        <v>66</v>
      </c>
      <c r="I4" s="39" t="s">
        <v>66</v>
      </c>
      <c r="J4" s="39" t="s">
        <v>66</v>
      </c>
      <c r="K4" s="39" t="s">
        <v>66</v>
      </c>
      <c r="L4" s="39" t="s">
        <v>66</v>
      </c>
    </row>
    <row r="5" spans="2:12" x14ac:dyDescent="0.25">
      <c r="B5" s="35" t="s">
        <v>68</v>
      </c>
      <c r="C5" s="35"/>
      <c r="D5" s="33"/>
      <c r="E5" s="33"/>
      <c r="F5" s="33"/>
      <c r="G5" s="33"/>
      <c r="H5" s="33"/>
      <c r="I5" s="33"/>
      <c r="J5" s="33"/>
      <c r="K5" s="33"/>
      <c r="L5" s="33"/>
    </row>
    <row r="6" spans="2:12" outlineLevel="1" x14ac:dyDescent="0.25">
      <c r="B6" s="34" t="s">
        <v>91</v>
      </c>
      <c r="C6" s="34"/>
      <c r="D6" s="40" t="s">
        <v>58</v>
      </c>
      <c r="E6" s="41" t="s">
        <v>58</v>
      </c>
      <c r="F6" s="41" t="s">
        <v>58</v>
      </c>
      <c r="G6" s="41" t="s">
        <v>78</v>
      </c>
      <c r="H6" s="41" t="s">
        <v>78</v>
      </c>
      <c r="I6" s="41" t="s">
        <v>58</v>
      </c>
      <c r="J6" s="41" t="s">
        <v>58</v>
      </c>
      <c r="K6" s="41" t="s">
        <v>78</v>
      </c>
      <c r="L6" s="41" t="s">
        <v>78</v>
      </c>
    </row>
    <row r="7" spans="2:12" outlineLevel="1" x14ac:dyDescent="0.25">
      <c r="B7" s="34" t="s">
        <v>86</v>
      </c>
      <c r="C7" s="34" t="s">
        <v>61</v>
      </c>
      <c r="D7" s="40" t="s">
        <v>59</v>
      </c>
      <c r="E7" s="41" t="s">
        <v>59</v>
      </c>
      <c r="F7" s="41" t="s">
        <v>76</v>
      </c>
      <c r="G7" s="41" t="s">
        <v>59</v>
      </c>
      <c r="H7" s="41" t="s">
        <v>76</v>
      </c>
      <c r="I7" s="41" t="s">
        <v>59</v>
      </c>
      <c r="J7" s="41" t="s">
        <v>76</v>
      </c>
      <c r="K7" s="41" t="s">
        <v>59</v>
      </c>
      <c r="L7" s="41" t="s">
        <v>76</v>
      </c>
    </row>
    <row r="8" spans="2:12" outlineLevel="1" x14ac:dyDescent="0.25">
      <c r="B8" s="34" t="s">
        <v>87</v>
      </c>
      <c r="C8" s="34" t="s">
        <v>62</v>
      </c>
      <c r="D8" s="40" t="s">
        <v>60</v>
      </c>
      <c r="E8" s="41" t="s">
        <v>60</v>
      </c>
      <c r="F8" s="41" t="s">
        <v>60</v>
      </c>
      <c r="G8" s="41" t="s">
        <v>60</v>
      </c>
      <c r="H8" s="41" t="s">
        <v>60</v>
      </c>
      <c r="I8" s="41" t="s">
        <v>81</v>
      </c>
      <c r="J8" s="41" t="s">
        <v>81</v>
      </c>
      <c r="K8" s="41" t="s">
        <v>81</v>
      </c>
      <c r="L8" s="41" t="s">
        <v>81</v>
      </c>
    </row>
    <row r="9" spans="2:12" x14ac:dyDescent="0.25">
      <c r="B9" s="35" t="s">
        <v>70</v>
      </c>
      <c r="C9" s="35"/>
      <c r="D9" s="33"/>
      <c r="E9" s="33"/>
      <c r="F9" s="33"/>
      <c r="G9" s="33"/>
      <c r="H9" s="33"/>
      <c r="I9" s="33"/>
      <c r="J9" s="33"/>
      <c r="K9" s="33"/>
      <c r="L9" s="33"/>
    </row>
    <row r="10" spans="2:12" outlineLevel="1" x14ac:dyDescent="0.25">
      <c r="B10" s="34" t="s">
        <v>88</v>
      </c>
      <c r="C10" s="34" t="s">
        <v>63</v>
      </c>
      <c r="D10" s="29">
        <v>482326748.53777701</v>
      </c>
      <c r="E10" s="29">
        <v>482326748.53777701</v>
      </c>
      <c r="F10" s="29">
        <v>482326748.53777701</v>
      </c>
      <c r="G10" s="29">
        <v>838885935.16195595</v>
      </c>
      <c r="H10" s="29">
        <v>838885935.16195595</v>
      </c>
      <c r="I10" s="29">
        <v>418142353.54644299</v>
      </c>
      <c r="J10" s="29">
        <v>278366801.05939603</v>
      </c>
      <c r="K10" s="29">
        <v>418142353.54644299</v>
      </c>
      <c r="L10" s="29">
        <v>278366801.05939603</v>
      </c>
    </row>
    <row r="11" spans="2:12" outlineLevel="1" x14ac:dyDescent="0.25">
      <c r="B11" s="34" t="s">
        <v>89</v>
      </c>
      <c r="C11" s="34" t="s">
        <v>64</v>
      </c>
      <c r="D11" s="29">
        <v>1612576124.56812</v>
      </c>
      <c r="E11" s="29">
        <v>1612576124.56812</v>
      </c>
      <c r="F11" s="29">
        <v>1612576124.56812</v>
      </c>
      <c r="G11" s="29">
        <v>2672479332.2894402</v>
      </c>
      <c r="H11" s="29">
        <v>2672479332.2894402</v>
      </c>
      <c r="I11" s="29">
        <v>1981951829.20383</v>
      </c>
      <c r="J11" s="29">
        <v>1315657289.2808399</v>
      </c>
      <c r="K11" s="29">
        <v>2088784867.06973</v>
      </c>
      <c r="L11" s="29">
        <v>1422490327.14675</v>
      </c>
    </row>
    <row r="12" spans="2:12" ht="15.75" outlineLevel="1" thickBot="1" x14ac:dyDescent="0.3">
      <c r="B12" s="36" t="s">
        <v>90</v>
      </c>
      <c r="C12" s="36" t="s">
        <v>65</v>
      </c>
      <c r="D12" s="30">
        <v>9.84517740082409E-2</v>
      </c>
      <c r="E12" s="30">
        <v>9.84517740082409E-2</v>
      </c>
      <c r="F12" s="30">
        <v>9.84517740082409E-2</v>
      </c>
      <c r="G12" s="30">
        <v>0.28613416144160297</v>
      </c>
      <c r="H12" s="30">
        <v>0.28613416144160297</v>
      </c>
      <c r="I12" s="30">
        <v>0.22564306487365099</v>
      </c>
      <c r="J12" s="30">
        <v>3.6380337917181399E-2</v>
      </c>
      <c r="K12" s="30">
        <v>0.26440179938824299</v>
      </c>
      <c r="L12" s="30">
        <v>7.2373050852203399E-2</v>
      </c>
    </row>
    <row r="13" spans="2:12" x14ac:dyDescent="0.25">
      <c r="B13" t="s">
        <v>71</v>
      </c>
    </row>
    <row r="14" spans="2:12" x14ac:dyDescent="0.25">
      <c r="B14" t="s">
        <v>72</v>
      </c>
    </row>
    <row r="15" spans="2:12" x14ac:dyDescent="0.25">
      <c r="B15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workbookViewId="0">
      <selection sqref="A1:G1"/>
    </sheetView>
  </sheetViews>
  <sheetFormatPr defaultRowHeight="14.25" x14ac:dyDescent="0.2"/>
  <cols>
    <col min="1" max="1" width="59.28515625" style="1" customWidth="1"/>
    <col min="2" max="3" width="15.5703125" style="1" customWidth="1"/>
    <col min="4" max="4" width="17.7109375" style="1" customWidth="1"/>
    <col min="5" max="5" width="15.5703125" style="1" customWidth="1"/>
    <col min="6" max="7" width="15.7109375" style="1" customWidth="1"/>
    <col min="8" max="16384" width="9.140625" style="1"/>
  </cols>
  <sheetData>
    <row r="1" spans="1:7" ht="18" x14ac:dyDescent="0.25">
      <c r="A1" s="48" t="s">
        <v>56</v>
      </c>
      <c r="B1" s="48"/>
      <c r="C1" s="48"/>
      <c r="D1" s="48"/>
      <c r="E1" s="48"/>
      <c r="F1" s="48"/>
      <c r="G1" s="48"/>
    </row>
    <row r="3" spans="1:7" ht="15.75" thickBot="1" x14ac:dyDescent="0.3">
      <c r="A3" s="2" t="s">
        <v>0</v>
      </c>
      <c r="B3" s="3">
        <v>2014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</row>
    <row r="4" spans="1:7" x14ac:dyDescent="0.2">
      <c r="A4" s="4" t="s">
        <v>24</v>
      </c>
      <c r="B4" s="5" t="s">
        <v>1</v>
      </c>
      <c r="C4" s="5" t="s">
        <v>1</v>
      </c>
      <c r="D4" s="22">
        <v>200000</v>
      </c>
      <c r="E4" s="22">
        <v>200000</v>
      </c>
      <c r="F4" s="22">
        <v>200000</v>
      </c>
      <c r="G4" s="22">
        <v>200000</v>
      </c>
    </row>
    <row r="5" spans="1:7" x14ac:dyDescent="0.2">
      <c r="A5" s="4" t="s">
        <v>20</v>
      </c>
      <c r="B5" s="5" t="s">
        <v>1</v>
      </c>
      <c r="C5" s="5" t="s">
        <v>1</v>
      </c>
      <c r="D5" s="20">
        <v>20</v>
      </c>
      <c r="E5" s="20">
        <f t="shared" ref="E5:G6" si="0">D5*1.03</f>
        <v>20.6</v>
      </c>
      <c r="F5" s="20">
        <f t="shared" si="0"/>
        <v>21.218000000000004</v>
      </c>
      <c r="G5" s="20">
        <f t="shared" si="0"/>
        <v>21.854540000000004</v>
      </c>
    </row>
    <row r="6" spans="1:7" x14ac:dyDescent="0.2">
      <c r="A6" s="4" t="s">
        <v>21</v>
      </c>
      <c r="B6" s="5" t="s">
        <v>1</v>
      </c>
      <c r="C6" s="20">
        <v>45</v>
      </c>
      <c r="D6" s="20">
        <f>C6*1.03</f>
        <v>46.35</v>
      </c>
      <c r="E6" s="20">
        <f t="shared" si="0"/>
        <v>47.740500000000004</v>
      </c>
      <c r="F6" s="20">
        <f t="shared" si="0"/>
        <v>49.172715000000004</v>
      </c>
      <c r="G6" s="20">
        <f t="shared" si="0"/>
        <v>50.647896450000005</v>
      </c>
    </row>
    <row r="7" spans="1:7" x14ac:dyDescent="0.2">
      <c r="A7" s="4" t="s">
        <v>28</v>
      </c>
      <c r="B7" s="5" t="s">
        <v>1</v>
      </c>
      <c r="C7" s="20">
        <v>70</v>
      </c>
      <c r="D7" s="20">
        <f>C7*1.05</f>
        <v>73.5</v>
      </c>
      <c r="E7" s="20">
        <f t="shared" ref="E7:G7" si="1">D7*1.05</f>
        <v>77.174999999999997</v>
      </c>
      <c r="F7" s="20">
        <f t="shared" si="1"/>
        <v>81.033749999999998</v>
      </c>
      <c r="G7" s="20">
        <f t="shared" si="1"/>
        <v>85.085437499999998</v>
      </c>
    </row>
    <row r="8" spans="1:7" x14ac:dyDescent="0.2">
      <c r="A8" s="4" t="s">
        <v>57</v>
      </c>
      <c r="B8" s="5" t="s">
        <v>1</v>
      </c>
      <c r="C8" s="20">
        <v>80</v>
      </c>
      <c r="D8" s="20">
        <v>82</v>
      </c>
      <c r="E8" s="20">
        <v>84</v>
      </c>
      <c r="F8" s="20">
        <v>86</v>
      </c>
      <c r="G8" s="20">
        <v>88</v>
      </c>
    </row>
    <row r="9" spans="1:7" x14ac:dyDescent="0.2">
      <c r="A9" s="4" t="s">
        <v>23</v>
      </c>
      <c r="B9" s="21">
        <v>8424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</row>
    <row r="10" spans="1:7" x14ac:dyDescent="0.2">
      <c r="A10" s="4" t="s">
        <v>22</v>
      </c>
      <c r="B10" s="21">
        <v>8592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</row>
    <row r="11" spans="1:7" x14ac:dyDescent="0.2">
      <c r="A11" s="4" t="s">
        <v>17</v>
      </c>
      <c r="B11" s="8">
        <v>2000000000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</row>
    <row r="12" spans="1:7" x14ac:dyDescent="0.2">
      <c r="A12" s="4" t="s">
        <v>18</v>
      </c>
      <c r="B12" s="8">
        <v>900000000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</row>
    <row r="13" spans="1:7" x14ac:dyDescent="0.2">
      <c r="A13" s="4" t="s">
        <v>27</v>
      </c>
      <c r="B13" s="22">
        <v>3000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</row>
    <row r="14" spans="1:7" x14ac:dyDescent="0.2">
      <c r="A14" s="4" t="s">
        <v>26</v>
      </c>
      <c r="B14" s="22">
        <v>2200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</row>
    <row r="15" spans="1:7" x14ac:dyDescent="0.2">
      <c r="A15" s="4" t="s">
        <v>12</v>
      </c>
      <c r="B15" s="9">
        <v>0.25</v>
      </c>
      <c r="C15" s="9">
        <v>0.25</v>
      </c>
      <c r="D15" s="9">
        <v>0.26</v>
      </c>
      <c r="E15" s="9">
        <v>0.26</v>
      </c>
      <c r="F15" s="9">
        <v>0.27</v>
      </c>
      <c r="G15" s="9">
        <v>0.27</v>
      </c>
    </row>
    <row r="17" spans="1:7" ht="15.75" thickBot="1" x14ac:dyDescent="0.3">
      <c r="A17" s="2" t="s">
        <v>2</v>
      </c>
      <c r="B17" s="3" t="s">
        <v>19</v>
      </c>
    </row>
    <row r="18" spans="1:7" x14ac:dyDescent="0.2">
      <c r="A18" s="4" t="s">
        <v>29</v>
      </c>
      <c r="B18" s="6" t="s">
        <v>58</v>
      </c>
    </row>
    <row r="19" spans="1:7" x14ac:dyDescent="0.2">
      <c r="A19" s="4" t="s">
        <v>47</v>
      </c>
      <c r="B19" s="7" t="s">
        <v>59</v>
      </c>
    </row>
    <row r="20" spans="1:7" x14ac:dyDescent="0.2">
      <c r="A20" s="4" t="s">
        <v>55</v>
      </c>
      <c r="B20" s="7" t="s">
        <v>60</v>
      </c>
    </row>
    <row r="22" spans="1:7" ht="15.75" thickBot="1" x14ac:dyDescent="0.3">
      <c r="A22" s="2" t="s">
        <v>3</v>
      </c>
      <c r="B22" s="3">
        <v>2014</v>
      </c>
      <c r="C22" s="3">
        <v>2015</v>
      </c>
      <c r="D22" s="3">
        <v>2016</v>
      </c>
      <c r="E22" s="3">
        <v>2017</v>
      </c>
      <c r="F22" s="3">
        <v>2018</v>
      </c>
      <c r="G22" s="3">
        <v>2019</v>
      </c>
    </row>
    <row r="23" spans="1:7" x14ac:dyDescent="0.2">
      <c r="A23" s="4" t="s">
        <v>5</v>
      </c>
      <c r="B23" s="5" t="s">
        <v>1</v>
      </c>
      <c r="C23" s="8">
        <f>C47</f>
        <v>-292668833.32964891</v>
      </c>
      <c r="D23" s="8">
        <f t="shared" ref="D23:G24" si="2">D47</f>
        <v>276044672.98405981</v>
      </c>
      <c r="E23" s="8">
        <f t="shared" si="2"/>
        <v>340821895.57037181</v>
      </c>
      <c r="F23" s="8">
        <f t="shared" si="2"/>
        <v>406051640.80555636</v>
      </c>
      <c r="G23" s="8">
        <f t="shared" si="2"/>
        <v>482326748.53777683</v>
      </c>
    </row>
    <row r="24" spans="1:7" ht="15" thickBot="1" x14ac:dyDescent="0.25">
      <c r="A24" s="4" t="s">
        <v>6</v>
      </c>
      <c r="B24" s="5" t="s">
        <v>1</v>
      </c>
      <c r="C24" s="8">
        <f>C48</f>
        <v>107331166.67035109</v>
      </c>
      <c r="D24" s="8">
        <f t="shared" si="2"/>
        <v>383375839.6544109</v>
      </c>
      <c r="E24" s="8">
        <f t="shared" si="2"/>
        <v>724197735.22478271</v>
      </c>
      <c r="F24" s="8">
        <f t="shared" si="2"/>
        <v>1130249376.030339</v>
      </c>
      <c r="G24" s="8">
        <f t="shared" si="2"/>
        <v>1612576124.5681157</v>
      </c>
    </row>
    <row r="25" spans="1:7" ht="15" thickBot="1" x14ac:dyDescent="0.25">
      <c r="A25" s="4" t="s">
        <v>11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26">
        <f>B57</f>
        <v>9.84517740082409E-2</v>
      </c>
    </row>
    <row r="27" spans="1:7" ht="15.75" thickBot="1" x14ac:dyDescent="0.3">
      <c r="A27" s="2" t="s">
        <v>4</v>
      </c>
      <c r="B27" s="3">
        <v>2014</v>
      </c>
      <c r="C27" s="3">
        <v>2015</v>
      </c>
      <c r="D27" s="3">
        <v>2016</v>
      </c>
      <c r="E27" s="3">
        <v>2017</v>
      </c>
      <c r="F27" s="3">
        <v>2018</v>
      </c>
      <c r="G27" s="3">
        <v>2019</v>
      </c>
    </row>
    <row r="28" spans="1:7" x14ac:dyDescent="0.2">
      <c r="A28" s="11" t="s">
        <v>50</v>
      </c>
      <c r="B28" s="12">
        <v>2000</v>
      </c>
      <c r="C28" s="12">
        <f>IF($B$18="M", B28*1.03, B28*1.1)</f>
        <v>2060</v>
      </c>
      <c r="D28" s="12">
        <f t="shared" ref="D28:G28" si="3">IF($B$18="M", C28*1.03, C28*1.1)</f>
        <v>2121.8000000000002</v>
      </c>
      <c r="E28" s="12">
        <f t="shared" si="3"/>
        <v>2185.4540000000002</v>
      </c>
      <c r="F28" s="12">
        <f t="shared" si="3"/>
        <v>2251.0176200000001</v>
      </c>
      <c r="G28" s="12">
        <f t="shared" si="3"/>
        <v>2318.5481486000003</v>
      </c>
    </row>
    <row r="29" spans="1:7" x14ac:dyDescent="0.2">
      <c r="A29" s="11" t="s">
        <v>54</v>
      </c>
      <c r="B29" s="5" t="s">
        <v>1</v>
      </c>
      <c r="C29" s="12">
        <f>IF($B$20="W", 0, B14)</f>
        <v>0</v>
      </c>
      <c r="D29" s="12">
        <f>IF($B$20="W", $B$13, $B$14)</f>
        <v>3000</v>
      </c>
      <c r="E29" s="12">
        <f t="shared" ref="E29:G29" si="4">IF($B$20="W", $B$13, $B$14)</f>
        <v>3000</v>
      </c>
      <c r="F29" s="12">
        <f t="shared" si="4"/>
        <v>3000</v>
      </c>
      <c r="G29" s="12">
        <f t="shared" si="4"/>
        <v>3000</v>
      </c>
    </row>
    <row r="30" spans="1:7" x14ac:dyDescent="0.2">
      <c r="A30" s="11" t="s">
        <v>52</v>
      </c>
      <c r="B30" s="5" t="s">
        <v>1</v>
      </c>
      <c r="C30" s="8">
        <f>(MIN(C28, C29))*($C$7)*(B10)</f>
        <v>0</v>
      </c>
      <c r="D30" s="8">
        <f>IF($B$20="W", (MIN(D28, D29))*(D7*$B$9), (MIN(D28, D29))*(D7*$B$10))</f>
        <v>1313742175.2</v>
      </c>
      <c r="E30" s="8">
        <f t="shared" ref="E30:G30" si="5">IF($B$20="W", (MIN(E28, E29))*(E7*$B$9), (MIN(E28, E29))*(E7*$B$10))</f>
        <v>1420812162.4788001</v>
      </c>
      <c r="F30" s="8">
        <f t="shared" si="5"/>
        <v>1536608353.7208221</v>
      </c>
      <c r="G30" s="8">
        <f t="shared" si="5"/>
        <v>1661841934.5490694</v>
      </c>
    </row>
    <row r="31" spans="1:7" x14ac:dyDescent="0.2">
      <c r="A31" s="11" t="s">
        <v>53</v>
      </c>
      <c r="B31" s="5" t="s">
        <v>1</v>
      </c>
      <c r="C31" s="5" t="s">
        <v>1</v>
      </c>
      <c r="D31" s="8">
        <f>IF($B$20="W", D4*D8, 0)</f>
        <v>16400000</v>
      </c>
      <c r="E31" s="8">
        <f t="shared" ref="E31:G31" si="6">IF($B$20="W", E4*E8, 0)</f>
        <v>16800000</v>
      </c>
      <c r="F31" s="8">
        <f t="shared" si="6"/>
        <v>17200000</v>
      </c>
      <c r="G31" s="8">
        <f t="shared" si="6"/>
        <v>17600000</v>
      </c>
    </row>
    <row r="32" spans="1:7" x14ac:dyDescent="0.2">
      <c r="A32" s="11" t="s">
        <v>49</v>
      </c>
      <c r="B32" s="5" t="s">
        <v>1</v>
      </c>
      <c r="C32" s="5" t="s">
        <v>1</v>
      </c>
      <c r="D32" s="8">
        <f>(D5*$B$9*$B$13)</f>
        <v>505440000</v>
      </c>
      <c r="E32" s="8">
        <f t="shared" ref="E32:G32" si="7">(E5*$B$9*$B$13)</f>
        <v>520603200.00000006</v>
      </c>
      <c r="F32" s="8">
        <f t="shared" si="7"/>
        <v>536221296.00000012</v>
      </c>
      <c r="G32" s="8">
        <f t="shared" si="7"/>
        <v>552307934.88000011</v>
      </c>
    </row>
    <row r="33" spans="1:7" x14ac:dyDescent="0.2">
      <c r="A33" s="11" t="s">
        <v>48</v>
      </c>
      <c r="B33" s="5" t="s">
        <v>1</v>
      </c>
      <c r="C33" s="8">
        <f>IF($B$19="L", (C6*$B$10*$B$14)*0.9, (C6*$B$10*$B$14)*1.1)</f>
        <v>765547200</v>
      </c>
      <c r="D33" s="8">
        <f t="shared" ref="D33:G33" si="8">IF($B$19="L", (D6*$B$10*$B$14)*0.9, (D6*$B$10*$B$14)*1.1)</f>
        <v>788513616</v>
      </c>
      <c r="E33" s="8">
        <f t="shared" si="8"/>
        <v>812169024.48000002</v>
      </c>
      <c r="F33" s="8">
        <f t="shared" si="8"/>
        <v>836534095.21440005</v>
      </c>
      <c r="G33" s="8">
        <f t="shared" si="8"/>
        <v>861630118.07083201</v>
      </c>
    </row>
    <row r="34" spans="1:7" x14ac:dyDescent="0.2">
      <c r="A34" s="4" t="s">
        <v>51</v>
      </c>
      <c r="B34" s="8">
        <v>150000000</v>
      </c>
      <c r="C34" s="8">
        <f>IF(B20="W", 0, B34*1.03)</f>
        <v>0</v>
      </c>
      <c r="D34" s="8">
        <f>IF(B20="W", B34*1.06, C34*1.03)</f>
        <v>159000000</v>
      </c>
      <c r="E34" s="8">
        <f>D34*1.03</f>
        <v>163770000</v>
      </c>
      <c r="F34" s="8">
        <f t="shared" ref="F34:G34" si="9">E34*1.03</f>
        <v>168683100</v>
      </c>
      <c r="G34" s="8">
        <f t="shared" si="9"/>
        <v>173743593</v>
      </c>
    </row>
    <row r="36" spans="1:7" ht="15.75" thickBot="1" x14ac:dyDescent="0.3">
      <c r="A36" s="2" t="s">
        <v>7</v>
      </c>
      <c r="B36" s="3">
        <v>2014</v>
      </c>
      <c r="C36" s="3">
        <v>2015</v>
      </c>
      <c r="D36" s="3">
        <v>2016</v>
      </c>
      <c r="E36" s="3">
        <v>2017</v>
      </c>
      <c r="F36" s="3">
        <v>2018</v>
      </c>
      <c r="G36" s="3">
        <v>2019</v>
      </c>
    </row>
    <row r="37" spans="1:7" x14ac:dyDescent="0.2">
      <c r="A37" s="4" t="s">
        <v>25</v>
      </c>
      <c r="B37" s="5" t="s">
        <v>1</v>
      </c>
      <c r="C37" s="8">
        <f>IF(B20="W", B48-(B11-F51), B48-B12)</f>
        <v>400000000</v>
      </c>
      <c r="D37" s="8">
        <f>C48</f>
        <v>107331166.67035109</v>
      </c>
      <c r="E37" s="8">
        <f t="shared" ref="E37:G37" si="10">D48</f>
        <v>383375839.6544109</v>
      </c>
      <c r="F37" s="8">
        <f t="shared" si="10"/>
        <v>724197735.22478271</v>
      </c>
      <c r="G37" s="8">
        <f t="shared" si="10"/>
        <v>1130249376.030339</v>
      </c>
    </row>
    <row r="38" spans="1:7" x14ac:dyDescent="0.2">
      <c r="A38" s="4" t="s">
        <v>31</v>
      </c>
      <c r="B38" s="5" t="s">
        <v>1</v>
      </c>
      <c r="C38" s="8">
        <f>IF(B20="W", 0, C30)</f>
        <v>0</v>
      </c>
      <c r="D38" s="8">
        <f>D30</f>
        <v>1313742175.2</v>
      </c>
      <c r="E38" s="8">
        <f t="shared" ref="E38:G38" si="11">E30</f>
        <v>1420812162.4788001</v>
      </c>
      <c r="F38" s="8">
        <f t="shared" si="11"/>
        <v>1536608353.7208221</v>
      </c>
      <c r="G38" s="8">
        <f t="shared" si="11"/>
        <v>1661841934.5490694</v>
      </c>
    </row>
    <row r="39" spans="1:7" x14ac:dyDescent="0.2">
      <c r="A39" s="4" t="s">
        <v>32</v>
      </c>
      <c r="B39" s="5" t="s">
        <v>1</v>
      </c>
      <c r="C39" s="5" t="s">
        <v>1</v>
      </c>
      <c r="D39" s="8">
        <f>IF($B$20="W", D31, 0)</f>
        <v>16400000</v>
      </c>
      <c r="E39" s="8">
        <f t="shared" ref="E39:G39" si="12">IF($B$20="W", E31, 0)</f>
        <v>16800000</v>
      </c>
      <c r="F39" s="8">
        <f t="shared" si="12"/>
        <v>17200000</v>
      </c>
      <c r="G39" s="8">
        <f t="shared" si="12"/>
        <v>17600000</v>
      </c>
    </row>
    <row r="40" spans="1:7" x14ac:dyDescent="0.2">
      <c r="A40" s="4" t="s">
        <v>30</v>
      </c>
      <c r="B40" s="5" t="s">
        <v>1</v>
      </c>
      <c r="C40" s="8">
        <f>SUM(C38, C39)</f>
        <v>0</v>
      </c>
      <c r="D40" s="8">
        <f t="shared" ref="D40:G40" si="13">SUM(D38, D39)</f>
        <v>1330142175.2</v>
      </c>
      <c r="E40" s="8">
        <f t="shared" si="13"/>
        <v>1437612162.4788001</v>
      </c>
      <c r="F40" s="8">
        <f t="shared" si="13"/>
        <v>1553808353.7208221</v>
      </c>
      <c r="G40" s="8">
        <f t="shared" si="13"/>
        <v>1679441934.5490694</v>
      </c>
    </row>
    <row r="41" spans="1:7" x14ac:dyDescent="0.2">
      <c r="A41" s="4" t="s">
        <v>33</v>
      </c>
      <c r="B41" s="5" t="s">
        <v>1</v>
      </c>
      <c r="C41" s="8">
        <f>IF(B20="W", 0, C33)</f>
        <v>0</v>
      </c>
      <c r="D41" s="8">
        <f>IF($B$20="W", D32, D33)</f>
        <v>505440000</v>
      </c>
      <c r="E41" s="8">
        <f t="shared" ref="E41:G41" si="14">IF($B$20="W", E32, E33)</f>
        <v>520603200.00000006</v>
      </c>
      <c r="F41" s="8">
        <f t="shared" si="14"/>
        <v>536221296.00000012</v>
      </c>
      <c r="G41" s="8">
        <f t="shared" si="14"/>
        <v>552307934.88000011</v>
      </c>
    </row>
    <row r="42" spans="1:7" x14ac:dyDescent="0.2">
      <c r="A42" s="4" t="s">
        <v>8</v>
      </c>
      <c r="B42" s="5" t="s">
        <v>1</v>
      </c>
      <c r="C42" s="8">
        <f>C40-C41</f>
        <v>0</v>
      </c>
      <c r="D42" s="8">
        <f t="shared" ref="D42:G42" si="15">D40-D41</f>
        <v>824702175.20000005</v>
      </c>
      <c r="E42" s="8">
        <f t="shared" si="15"/>
        <v>917008962.47880006</v>
      </c>
      <c r="F42" s="8">
        <f t="shared" si="15"/>
        <v>1017587057.720822</v>
      </c>
      <c r="G42" s="8">
        <f t="shared" si="15"/>
        <v>1127133999.6690693</v>
      </c>
    </row>
    <row r="43" spans="1:7" x14ac:dyDescent="0.2">
      <c r="A43" s="4" t="s">
        <v>39</v>
      </c>
      <c r="B43" s="5" t="s">
        <v>1</v>
      </c>
      <c r="C43" s="8">
        <f>IF($B$20="W", -($F$54), 0)</f>
        <v>292668833.32964891</v>
      </c>
      <c r="D43" s="8">
        <f t="shared" ref="D43:G43" si="16">IF($B$20="W", -($F$54), 0)</f>
        <v>292668833.32964891</v>
      </c>
      <c r="E43" s="8">
        <f t="shared" si="16"/>
        <v>292668833.32964891</v>
      </c>
      <c r="F43" s="8">
        <f t="shared" si="16"/>
        <v>292668833.32964891</v>
      </c>
      <c r="G43" s="8">
        <f t="shared" si="16"/>
        <v>292668833.32964891</v>
      </c>
    </row>
    <row r="44" spans="1:7" x14ac:dyDescent="0.2">
      <c r="A44" s="10" t="s">
        <v>40</v>
      </c>
      <c r="B44" s="5" t="s">
        <v>1</v>
      </c>
      <c r="C44" s="8">
        <f>C34</f>
        <v>0</v>
      </c>
      <c r="D44" s="8">
        <f t="shared" ref="D44:G44" si="17">D34</f>
        <v>159000000</v>
      </c>
      <c r="E44" s="8">
        <f t="shared" si="17"/>
        <v>163770000</v>
      </c>
      <c r="F44" s="8">
        <f t="shared" si="17"/>
        <v>168683100</v>
      </c>
      <c r="G44" s="8">
        <f t="shared" si="17"/>
        <v>173743593</v>
      </c>
    </row>
    <row r="45" spans="1:7" x14ac:dyDescent="0.2">
      <c r="A45" s="4" t="s">
        <v>9</v>
      </c>
      <c r="B45" s="5" t="s">
        <v>1</v>
      </c>
      <c r="C45" s="8">
        <f>C42-C43-C44</f>
        <v>-292668833.32964891</v>
      </c>
      <c r="D45" s="8">
        <f t="shared" ref="D45:G45" si="18">D42-D43-D44</f>
        <v>373033341.87035114</v>
      </c>
      <c r="E45" s="8">
        <f t="shared" si="18"/>
        <v>460570129.14915109</v>
      </c>
      <c r="F45" s="8">
        <f t="shared" si="18"/>
        <v>556235124.39117312</v>
      </c>
      <c r="G45" s="8">
        <f t="shared" si="18"/>
        <v>660721573.33942032</v>
      </c>
    </row>
    <row r="46" spans="1:7" x14ac:dyDescent="0.2">
      <c r="A46" s="4" t="s">
        <v>10</v>
      </c>
      <c r="B46" s="5" t="s">
        <v>1</v>
      </c>
      <c r="C46" s="8">
        <f>IF(C45&gt;0, C45*C15, 0)</f>
        <v>0</v>
      </c>
      <c r="D46" s="8">
        <f t="shared" ref="D46:G46" si="19">IF(D45&gt;0, D45*D15, 0)</f>
        <v>96988668.886291295</v>
      </c>
      <c r="E46" s="8">
        <f t="shared" si="19"/>
        <v>119748233.57877928</v>
      </c>
      <c r="F46" s="8">
        <f t="shared" si="19"/>
        <v>150183483.58561677</v>
      </c>
      <c r="G46" s="8">
        <f t="shared" si="19"/>
        <v>178394824.80164349</v>
      </c>
    </row>
    <row r="47" spans="1:7" x14ac:dyDescent="0.2">
      <c r="A47" s="4" t="s">
        <v>15</v>
      </c>
      <c r="B47" s="5" t="s">
        <v>1</v>
      </c>
      <c r="C47" s="8">
        <f>C45-C46</f>
        <v>-292668833.32964891</v>
      </c>
      <c r="D47" s="8">
        <f t="shared" ref="D47:G47" si="20">D45-D46</f>
        <v>276044672.98405981</v>
      </c>
      <c r="E47" s="8">
        <f t="shared" si="20"/>
        <v>340821895.57037181</v>
      </c>
      <c r="F47" s="8">
        <f t="shared" si="20"/>
        <v>406051640.80555636</v>
      </c>
      <c r="G47" s="8">
        <f t="shared" si="20"/>
        <v>482326748.53777683</v>
      </c>
    </row>
    <row r="48" spans="1:7" x14ac:dyDescent="0.2">
      <c r="A48" s="4" t="s">
        <v>46</v>
      </c>
      <c r="B48" s="8">
        <v>1200000000</v>
      </c>
      <c r="C48" s="8">
        <f>SUM(C37, C47)</f>
        <v>107331166.67035109</v>
      </c>
      <c r="D48" s="8">
        <f t="shared" ref="D48:G48" si="21">SUM(D37, D47)</f>
        <v>383375839.6544109</v>
      </c>
      <c r="E48" s="8">
        <f t="shared" si="21"/>
        <v>724197735.22478271</v>
      </c>
      <c r="F48" s="8">
        <f t="shared" si="21"/>
        <v>1130249376.030339</v>
      </c>
      <c r="G48" s="8">
        <f t="shared" si="21"/>
        <v>1612576124.5681157</v>
      </c>
    </row>
    <row r="50" spans="1:6" ht="15.75" thickBot="1" x14ac:dyDescent="0.3">
      <c r="A50" s="13" t="s">
        <v>14</v>
      </c>
      <c r="D50" s="13" t="s">
        <v>45</v>
      </c>
    </row>
    <row r="51" spans="1:6" x14ac:dyDescent="0.2">
      <c r="A51" s="14" t="s">
        <v>34</v>
      </c>
      <c r="B51" s="15">
        <f>IF($B$20="W", -($B$11-$F$51), -($B$12))</f>
        <v>-800000000</v>
      </c>
      <c r="D51" s="42" t="s">
        <v>41</v>
      </c>
      <c r="E51" s="43"/>
      <c r="F51" s="23">
        <v>1200000000</v>
      </c>
    </row>
    <row r="52" spans="1:6" x14ac:dyDescent="0.2">
      <c r="A52" s="16" t="s">
        <v>16</v>
      </c>
      <c r="B52" s="17">
        <f>C47</f>
        <v>-292668833.32964891</v>
      </c>
      <c r="D52" s="44" t="s">
        <v>42</v>
      </c>
      <c r="E52" s="45"/>
      <c r="F52" s="19">
        <v>5</v>
      </c>
    </row>
    <row r="53" spans="1:6" x14ac:dyDescent="0.2">
      <c r="A53" s="16" t="s">
        <v>35</v>
      </c>
      <c r="B53" s="17">
        <f>D47</f>
        <v>276044672.98405981</v>
      </c>
      <c r="D53" s="44" t="s">
        <v>43</v>
      </c>
      <c r="E53" s="45"/>
      <c r="F53" s="24">
        <v>7.0000000000000007E-2</v>
      </c>
    </row>
    <row r="54" spans="1:6" ht="15" thickBot="1" x14ac:dyDescent="0.25">
      <c r="A54" s="16" t="s">
        <v>36</v>
      </c>
      <c r="B54" s="17">
        <f>E47</f>
        <v>340821895.57037181</v>
      </c>
      <c r="D54" s="46" t="s">
        <v>44</v>
      </c>
      <c r="E54" s="47"/>
      <c r="F54" s="25">
        <f>PMT(F53,F52,F51)</f>
        <v>-292668833.32964891</v>
      </c>
    </row>
    <row r="55" spans="1:6" x14ac:dyDescent="0.2">
      <c r="A55" s="16" t="s">
        <v>37</v>
      </c>
      <c r="B55" s="17">
        <f>F47</f>
        <v>406051640.80555636</v>
      </c>
      <c r="D55" s="4"/>
    </row>
    <row r="56" spans="1:6" x14ac:dyDescent="0.2">
      <c r="A56" s="16" t="s">
        <v>38</v>
      </c>
      <c r="B56" s="17">
        <f>G47</f>
        <v>482326748.53777683</v>
      </c>
      <c r="D56" s="4"/>
    </row>
    <row r="57" spans="1:6" ht="15" thickBot="1" x14ac:dyDescent="0.25">
      <c r="A57" s="18" t="s">
        <v>13</v>
      </c>
      <c r="B57" s="27">
        <f>IRR(B51:B56)</f>
        <v>9.84517740082409E-2</v>
      </c>
      <c r="D57" s="4"/>
    </row>
  </sheetData>
  <scenarios current="7" sqref="G23:G25">
    <scenario name="M/L/W" locked="1" count="3" user="Bradley" comment="Created by Bradley on 11/29/2014">
      <inputCells r="B18" val="M"/>
      <inputCells r="B19" val="L"/>
      <inputCells r="B20" val="W"/>
    </scenario>
    <scenario name="M/H/W" locked="1" count="3" user="Bradley" comment="Created by Bradley on 11/29/2014">
      <inputCells r="B18" val="M"/>
      <inputCells r="B19" val="H"/>
      <inputCells r="B20" val="W"/>
    </scenario>
    <scenario name="S/L/W" locked="1" count="3" user="Bradley" comment="Created by Bradley on 11/29/2014">
      <inputCells r="B18" val="S"/>
      <inputCells r="B19" val="L"/>
      <inputCells r="B20" val="W"/>
    </scenario>
    <scenario name="S/H/W" locked="1" count="3" user="Bradley" comment="Created by Bradley on 11/29/2014">
      <inputCells r="B18" val="S"/>
      <inputCells r="B19" val="H"/>
      <inputCells r="B20" val="W"/>
    </scenario>
    <scenario name="M/L/F" locked="1" count="3" user="Bradley" comment="Created by Bradley on 11/29/2014">
      <inputCells r="B18" val="M"/>
      <inputCells r="B19" val="L"/>
      <inputCells r="B20" val="F"/>
    </scenario>
    <scenario name="M/H/F" locked="1" count="3" user="Bradley" comment="Created by Bradley on 11/29/2014">
      <inputCells r="B18" val="M"/>
      <inputCells r="B19" val="H"/>
      <inputCells r="B20" val="F"/>
    </scenario>
    <scenario name="S/L/F" locked="1" count="3" user="Bradley" comment="Created by Bradley on 11/29/2014">
      <inputCells r="B18" val="S"/>
      <inputCells r="B19" val="L"/>
      <inputCells r="B20" val="F"/>
    </scenario>
    <scenario name="S/H/F" locked="1" count="3" user="Bradley" comment="Created by Bradley on 11/29/2014">
      <inputCells r="B18" val="S"/>
      <inputCells r="B19" val="H"/>
      <inputCells r="B20" val="F"/>
    </scenario>
  </scenarios>
  <mergeCells count="5">
    <mergeCell ref="A1:G1"/>
    <mergeCell ref="D51:E51"/>
    <mergeCell ref="D52:E52"/>
    <mergeCell ref="D53:E53"/>
    <mergeCell ref="D54:E54"/>
  </mergeCells>
  <pageMargins left="0.7" right="0.7" top="0.75" bottom="0.75" header="0.3" footer="0.3"/>
  <pageSetup scale="58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L15"/>
  <sheetViews>
    <sheetView showGridLines="0" workbookViewId="0">
      <selection activeCell="B16" sqref="B16"/>
    </sheetView>
  </sheetViews>
  <sheetFormatPr defaultRowHeight="15" outlineLevelRow="1" outlineLevelCol="1" x14ac:dyDescent="0.25"/>
  <cols>
    <col min="2" max="2" width="30.42578125" customWidth="1"/>
    <col min="3" max="3" width="6.42578125" customWidth="1"/>
    <col min="4" max="12" width="14.5703125" bestFit="1" customWidth="1" outlineLevel="1"/>
  </cols>
  <sheetData>
    <row r="1" spans="2:12" ht="15.75" thickBot="1" x14ac:dyDescent="0.3"/>
    <row r="2" spans="2:12" ht="15.75" x14ac:dyDescent="0.25">
      <c r="B2" s="32" t="s">
        <v>67</v>
      </c>
      <c r="C2" s="32"/>
      <c r="D2" s="37"/>
      <c r="E2" s="37"/>
      <c r="F2" s="37"/>
      <c r="G2" s="37"/>
      <c r="H2" s="37"/>
      <c r="I2" s="37"/>
      <c r="J2" s="37"/>
      <c r="K2" s="37"/>
      <c r="L2" s="37"/>
    </row>
    <row r="3" spans="2:12" ht="15.75" collapsed="1" x14ac:dyDescent="0.25">
      <c r="B3" s="31"/>
      <c r="C3" s="31"/>
      <c r="D3" s="38" t="s">
        <v>69</v>
      </c>
      <c r="E3" s="38" t="s">
        <v>74</v>
      </c>
      <c r="F3" s="38" t="s">
        <v>75</v>
      </c>
      <c r="G3" s="38" t="s">
        <v>77</v>
      </c>
      <c r="H3" s="38" t="s">
        <v>79</v>
      </c>
      <c r="I3" s="38" t="s">
        <v>80</v>
      </c>
      <c r="J3" s="38" t="s">
        <v>82</v>
      </c>
      <c r="K3" s="38" t="s">
        <v>83</v>
      </c>
      <c r="L3" s="38" t="s">
        <v>84</v>
      </c>
    </row>
    <row r="4" spans="2:12" ht="22.5" hidden="1" outlineLevel="1" x14ac:dyDescent="0.25">
      <c r="B4" s="34"/>
      <c r="C4" s="34"/>
      <c r="D4" s="28"/>
      <c r="E4" s="39" t="s">
        <v>66</v>
      </c>
      <c r="F4" s="39" t="s">
        <v>66</v>
      </c>
      <c r="G4" s="39" t="s">
        <v>66</v>
      </c>
      <c r="H4" s="39" t="s">
        <v>66</v>
      </c>
      <c r="I4" s="39" t="s">
        <v>66</v>
      </c>
      <c r="J4" s="39" t="s">
        <v>66</v>
      </c>
      <c r="K4" s="39" t="s">
        <v>66</v>
      </c>
      <c r="L4" s="39" t="s">
        <v>66</v>
      </c>
    </row>
    <row r="5" spans="2:12" x14ac:dyDescent="0.25">
      <c r="B5" s="35" t="s">
        <v>68</v>
      </c>
      <c r="C5" s="35"/>
      <c r="D5" s="33"/>
      <c r="E5" s="33"/>
      <c r="F5" s="33"/>
      <c r="G5" s="33"/>
      <c r="H5" s="33"/>
      <c r="I5" s="33"/>
      <c r="J5" s="33"/>
      <c r="K5" s="33"/>
      <c r="L5" s="33"/>
    </row>
    <row r="6" spans="2:12" outlineLevel="1" x14ac:dyDescent="0.25">
      <c r="B6" s="34" t="s">
        <v>85</v>
      </c>
      <c r="C6" s="34"/>
      <c r="D6" s="40" t="s">
        <v>58</v>
      </c>
      <c r="E6" s="41" t="s">
        <v>58</v>
      </c>
      <c r="F6" s="41" t="s">
        <v>58</v>
      </c>
      <c r="G6" s="41" t="s">
        <v>78</v>
      </c>
      <c r="H6" s="41" t="s">
        <v>78</v>
      </c>
      <c r="I6" s="41" t="s">
        <v>58</v>
      </c>
      <c r="J6" s="41" t="s">
        <v>58</v>
      </c>
      <c r="K6" s="41" t="s">
        <v>78</v>
      </c>
      <c r="L6" s="41" t="s">
        <v>78</v>
      </c>
    </row>
    <row r="7" spans="2:12" outlineLevel="1" x14ac:dyDescent="0.25">
      <c r="B7" s="34" t="s">
        <v>86</v>
      </c>
      <c r="C7" s="34"/>
      <c r="D7" s="40" t="s">
        <v>59</v>
      </c>
      <c r="E7" s="41" t="s">
        <v>59</v>
      </c>
      <c r="F7" s="41" t="s">
        <v>76</v>
      </c>
      <c r="G7" s="41" t="s">
        <v>59</v>
      </c>
      <c r="H7" s="41" t="s">
        <v>76</v>
      </c>
      <c r="I7" s="41" t="s">
        <v>59</v>
      </c>
      <c r="J7" s="41" t="s">
        <v>76</v>
      </c>
      <c r="K7" s="41" t="s">
        <v>59</v>
      </c>
      <c r="L7" s="41" t="s">
        <v>76</v>
      </c>
    </row>
    <row r="8" spans="2:12" outlineLevel="1" x14ac:dyDescent="0.25">
      <c r="B8" s="34" t="s">
        <v>87</v>
      </c>
      <c r="C8" s="34"/>
      <c r="D8" s="40" t="s">
        <v>60</v>
      </c>
      <c r="E8" s="41" t="s">
        <v>60</v>
      </c>
      <c r="F8" s="41" t="s">
        <v>60</v>
      </c>
      <c r="G8" s="41" t="s">
        <v>60</v>
      </c>
      <c r="H8" s="41" t="s">
        <v>60</v>
      </c>
      <c r="I8" s="41" t="s">
        <v>81</v>
      </c>
      <c r="J8" s="41" t="s">
        <v>81</v>
      </c>
      <c r="K8" s="41" t="s">
        <v>81</v>
      </c>
      <c r="L8" s="41" t="s">
        <v>81</v>
      </c>
    </row>
    <row r="9" spans="2:12" x14ac:dyDescent="0.25">
      <c r="B9" s="35" t="s">
        <v>70</v>
      </c>
      <c r="C9" s="35"/>
      <c r="D9" s="33"/>
      <c r="E9" s="33"/>
      <c r="F9" s="33"/>
      <c r="G9" s="33"/>
      <c r="H9" s="33"/>
      <c r="I9" s="33"/>
      <c r="J9" s="33"/>
      <c r="K9" s="33"/>
      <c r="L9" s="33"/>
    </row>
    <row r="10" spans="2:12" outlineLevel="1" x14ac:dyDescent="0.25">
      <c r="B10" s="34" t="s">
        <v>88</v>
      </c>
      <c r="C10" s="34"/>
      <c r="D10" s="29">
        <v>605972607.50742102</v>
      </c>
      <c r="E10" s="29">
        <v>605972607.50742102</v>
      </c>
      <c r="F10" s="29">
        <v>605972607.50742102</v>
      </c>
      <c r="G10" s="29">
        <v>962531794.13160002</v>
      </c>
      <c r="H10" s="29">
        <v>962531794.13160002</v>
      </c>
      <c r="I10" s="29">
        <v>449591852.85602802</v>
      </c>
      <c r="J10" s="29">
        <v>418142353.54644299</v>
      </c>
      <c r="K10" s="29">
        <v>449591852.85602802</v>
      </c>
      <c r="L10" s="29">
        <v>418142353.54644299</v>
      </c>
    </row>
    <row r="11" spans="2:12" outlineLevel="1" x14ac:dyDescent="0.25">
      <c r="B11" s="34" t="s">
        <v>89</v>
      </c>
      <c r="C11" s="34"/>
      <c r="D11" s="29">
        <v>2079925007.2261901</v>
      </c>
      <c r="E11" s="29">
        <v>2079925007.2261901</v>
      </c>
      <c r="F11" s="29">
        <v>2079925007.2261901</v>
      </c>
      <c r="G11" s="29">
        <v>3139828214.9475198</v>
      </c>
      <c r="H11" s="29">
        <v>3139828214.9475198</v>
      </c>
      <c r="I11" s="29">
        <v>2131868100.6865001</v>
      </c>
      <c r="J11" s="29">
        <v>1981951829.20383</v>
      </c>
      <c r="K11" s="29">
        <v>2238701138.5524001</v>
      </c>
      <c r="L11" s="29">
        <v>2088784867.06973</v>
      </c>
    </row>
    <row r="12" spans="2:12" ht="15.75" outlineLevel="1" thickBot="1" x14ac:dyDescent="0.3">
      <c r="B12" s="36" t="s">
        <v>90</v>
      </c>
      <c r="C12" s="36"/>
      <c r="D12" s="30">
        <v>0.18177082718648399</v>
      </c>
      <c r="E12" s="30">
        <v>0.18177082718648399</v>
      </c>
      <c r="F12" s="30">
        <v>0.18177082718648399</v>
      </c>
      <c r="G12" s="30">
        <v>0.33566710839024799</v>
      </c>
      <c r="H12" s="30">
        <v>0.33566710839024799</v>
      </c>
      <c r="I12" s="30">
        <v>0.264985753112852</v>
      </c>
      <c r="J12" s="30">
        <v>0.22564306487365099</v>
      </c>
      <c r="K12" s="30">
        <v>0.304324366015991</v>
      </c>
      <c r="L12" s="30">
        <v>0.26440179938824299</v>
      </c>
    </row>
    <row r="13" spans="2:12" x14ac:dyDescent="0.25">
      <c r="B13" t="s">
        <v>71</v>
      </c>
    </row>
    <row r="14" spans="2:12" x14ac:dyDescent="0.25">
      <c r="B14" t="s">
        <v>72</v>
      </c>
    </row>
    <row r="15" spans="2:12" x14ac:dyDescent="0.25">
      <c r="B15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abSelected="1" workbookViewId="0">
      <selection activeCell="H34" sqref="H34"/>
    </sheetView>
  </sheetViews>
  <sheetFormatPr defaultRowHeight="14.25" x14ac:dyDescent="0.2"/>
  <cols>
    <col min="1" max="1" width="59.28515625" style="1" customWidth="1"/>
    <col min="2" max="3" width="15.5703125" style="1" customWidth="1"/>
    <col min="4" max="4" width="17.7109375" style="1" customWidth="1"/>
    <col min="5" max="5" width="15.5703125" style="1" customWidth="1"/>
    <col min="6" max="7" width="15.7109375" style="1" customWidth="1"/>
    <col min="8" max="16384" width="9.140625" style="1"/>
  </cols>
  <sheetData>
    <row r="1" spans="1:7" ht="18" x14ac:dyDescent="0.25">
      <c r="A1" s="48" t="s">
        <v>56</v>
      </c>
      <c r="B1" s="48"/>
      <c r="C1" s="48"/>
      <c r="D1" s="48"/>
      <c r="E1" s="48"/>
      <c r="F1" s="48"/>
      <c r="G1" s="48"/>
    </row>
    <row r="3" spans="1:7" ht="15.75" thickBot="1" x14ac:dyDescent="0.3">
      <c r="A3" s="2" t="s">
        <v>0</v>
      </c>
      <c r="B3" s="3">
        <v>2014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</row>
    <row r="4" spans="1:7" x14ac:dyDescent="0.2">
      <c r="A4" s="4" t="s">
        <v>24</v>
      </c>
      <c r="B4" s="5" t="s">
        <v>1</v>
      </c>
      <c r="C4" s="5" t="s">
        <v>1</v>
      </c>
      <c r="D4" s="22">
        <v>200000</v>
      </c>
      <c r="E4" s="22">
        <v>200000</v>
      </c>
      <c r="F4" s="22">
        <v>200000</v>
      </c>
      <c r="G4" s="22">
        <v>200000</v>
      </c>
    </row>
    <row r="5" spans="1:7" x14ac:dyDescent="0.2">
      <c r="A5" s="4" t="s">
        <v>20</v>
      </c>
      <c r="B5" s="5" t="s">
        <v>1</v>
      </c>
      <c r="C5" s="5" t="s">
        <v>1</v>
      </c>
      <c r="D5" s="20">
        <v>20</v>
      </c>
      <c r="E5" s="20">
        <f t="shared" ref="E5:G6" si="0">D5*1.03</f>
        <v>20.6</v>
      </c>
      <c r="F5" s="20">
        <f t="shared" si="0"/>
        <v>21.218000000000004</v>
      </c>
      <c r="G5" s="20">
        <f t="shared" si="0"/>
        <v>21.854540000000004</v>
      </c>
    </row>
    <row r="6" spans="1:7" x14ac:dyDescent="0.2">
      <c r="A6" s="4" t="s">
        <v>21</v>
      </c>
      <c r="B6" s="5" t="s">
        <v>1</v>
      </c>
      <c r="C6" s="20">
        <v>40.5</v>
      </c>
      <c r="D6" s="20">
        <f>C6*1.03</f>
        <v>41.715000000000003</v>
      </c>
      <c r="E6" s="20">
        <f t="shared" si="0"/>
        <v>42.966450000000002</v>
      </c>
      <c r="F6" s="20">
        <f t="shared" si="0"/>
        <v>44.255443500000005</v>
      </c>
      <c r="G6" s="20">
        <f t="shared" si="0"/>
        <v>45.583106805000007</v>
      </c>
    </row>
    <row r="7" spans="1:7" x14ac:dyDescent="0.2">
      <c r="A7" s="4" t="s">
        <v>28</v>
      </c>
      <c r="B7" s="5" t="s">
        <v>1</v>
      </c>
      <c r="C7" s="20">
        <v>70</v>
      </c>
      <c r="D7" s="20">
        <f>C7*1.05</f>
        <v>73.5</v>
      </c>
      <c r="E7" s="20">
        <f t="shared" ref="E7:G7" si="1">D7*1.05</f>
        <v>77.174999999999997</v>
      </c>
      <c r="F7" s="20">
        <f t="shared" si="1"/>
        <v>81.033749999999998</v>
      </c>
      <c r="G7" s="20">
        <f t="shared" si="1"/>
        <v>85.085437499999998</v>
      </c>
    </row>
    <row r="8" spans="1:7" x14ac:dyDescent="0.2">
      <c r="A8" s="4" t="s">
        <v>57</v>
      </c>
      <c r="B8" s="5" t="s">
        <v>1</v>
      </c>
      <c r="C8" s="20">
        <v>80</v>
      </c>
      <c r="D8" s="20">
        <v>82</v>
      </c>
      <c r="E8" s="20">
        <v>84</v>
      </c>
      <c r="F8" s="20">
        <v>86</v>
      </c>
      <c r="G8" s="20">
        <v>88</v>
      </c>
    </row>
    <row r="9" spans="1:7" x14ac:dyDescent="0.2">
      <c r="A9" s="4" t="s">
        <v>23</v>
      </c>
      <c r="B9" s="21">
        <v>8424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</row>
    <row r="10" spans="1:7" x14ac:dyDescent="0.2">
      <c r="A10" s="4" t="s">
        <v>22</v>
      </c>
      <c r="B10" s="21">
        <v>8592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</row>
    <row r="11" spans="1:7" x14ac:dyDescent="0.2">
      <c r="A11" s="4" t="s">
        <v>17</v>
      </c>
      <c r="B11" s="8">
        <v>2000000000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</row>
    <row r="12" spans="1:7" x14ac:dyDescent="0.2">
      <c r="A12" s="4" t="s">
        <v>18</v>
      </c>
      <c r="B12" s="8">
        <v>900000000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</row>
    <row r="13" spans="1:7" x14ac:dyDescent="0.2">
      <c r="A13" s="4" t="s">
        <v>27</v>
      </c>
      <c r="B13" s="22">
        <v>3000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</row>
    <row r="14" spans="1:7" x14ac:dyDescent="0.2">
      <c r="A14" s="4" t="s">
        <v>26</v>
      </c>
      <c r="B14" s="22">
        <v>2200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</row>
    <row r="15" spans="1:7" x14ac:dyDescent="0.2">
      <c r="A15" s="4" t="s">
        <v>12</v>
      </c>
      <c r="B15" s="9">
        <v>0.25</v>
      </c>
      <c r="C15" s="9">
        <v>0.25</v>
      </c>
      <c r="D15" s="9">
        <v>0.26</v>
      </c>
      <c r="E15" s="9">
        <v>0.26</v>
      </c>
      <c r="F15" s="9">
        <v>0.27</v>
      </c>
      <c r="G15" s="9">
        <v>0.27</v>
      </c>
    </row>
    <row r="17" spans="1:7" ht="15.75" thickBot="1" x14ac:dyDescent="0.3">
      <c r="A17" s="2" t="s">
        <v>2</v>
      </c>
      <c r="B17" s="3" t="s">
        <v>19</v>
      </c>
    </row>
    <row r="18" spans="1:7" x14ac:dyDescent="0.2">
      <c r="A18" s="4" t="s">
        <v>29</v>
      </c>
      <c r="B18" s="6" t="s">
        <v>58</v>
      </c>
    </row>
    <row r="19" spans="1:7" x14ac:dyDescent="0.2">
      <c r="A19" s="4" t="s">
        <v>47</v>
      </c>
      <c r="B19" s="7" t="s">
        <v>59</v>
      </c>
    </row>
    <row r="20" spans="1:7" x14ac:dyDescent="0.2">
      <c r="A20" s="4" t="s">
        <v>55</v>
      </c>
      <c r="B20" s="7" t="s">
        <v>60</v>
      </c>
    </row>
    <row r="22" spans="1:7" ht="15.75" thickBot="1" x14ac:dyDescent="0.3">
      <c r="A22" s="2" t="s">
        <v>3</v>
      </c>
      <c r="B22" s="3">
        <v>2014</v>
      </c>
      <c r="C22" s="3">
        <v>2015</v>
      </c>
      <c r="D22" s="3">
        <v>2016</v>
      </c>
      <c r="E22" s="3">
        <v>2017</v>
      </c>
      <c r="F22" s="3">
        <v>2018</v>
      </c>
      <c r="G22" s="3">
        <v>2019</v>
      </c>
    </row>
    <row r="23" spans="1:7" x14ac:dyDescent="0.2">
      <c r="A23" s="4" t="s">
        <v>5</v>
      </c>
      <c r="B23" s="5" t="s">
        <v>1</v>
      </c>
      <c r="C23" s="8">
        <f>C47</f>
        <v>-123290944.33013654</v>
      </c>
      <c r="D23" s="8">
        <f t="shared" ref="D23:G24" si="2">D47</f>
        <v>401384310.84369898</v>
      </c>
      <c r="E23" s="8">
        <f t="shared" si="2"/>
        <v>466161533.43001103</v>
      </c>
      <c r="F23" s="8">
        <f t="shared" si="2"/>
        <v>529697499.77520037</v>
      </c>
      <c r="G23" s="8">
        <f t="shared" si="2"/>
        <v>605972607.5074209</v>
      </c>
    </row>
    <row r="24" spans="1:7" ht="15" thickBot="1" x14ac:dyDescent="0.25">
      <c r="A24" s="4" t="s">
        <v>6</v>
      </c>
      <c r="B24" s="5" t="s">
        <v>1</v>
      </c>
      <c r="C24" s="8">
        <f>C48</f>
        <v>76709055.669863462</v>
      </c>
      <c r="D24" s="8">
        <f t="shared" si="2"/>
        <v>478093366.51356244</v>
      </c>
      <c r="E24" s="8">
        <f t="shared" si="2"/>
        <v>944254899.94357347</v>
      </c>
      <c r="F24" s="8">
        <f t="shared" si="2"/>
        <v>1473952399.7187738</v>
      </c>
      <c r="G24" s="8">
        <f t="shared" si="2"/>
        <v>2079925007.2261949</v>
      </c>
    </row>
    <row r="25" spans="1:7" ht="15" thickBot="1" x14ac:dyDescent="0.25">
      <c r="A25" s="4" t="s">
        <v>11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26">
        <f>B57</f>
        <v>0.18177082718648352</v>
      </c>
    </row>
    <row r="27" spans="1:7" ht="15.75" thickBot="1" x14ac:dyDescent="0.3">
      <c r="A27" s="2" t="s">
        <v>4</v>
      </c>
      <c r="B27" s="3">
        <v>2014</v>
      </c>
      <c r="C27" s="3">
        <v>2015</v>
      </c>
      <c r="D27" s="3">
        <v>2016</v>
      </c>
      <c r="E27" s="3">
        <v>2017</v>
      </c>
      <c r="F27" s="3">
        <v>2018</v>
      </c>
      <c r="G27" s="3">
        <v>2019</v>
      </c>
    </row>
    <row r="28" spans="1:7" x14ac:dyDescent="0.2">
      <c r="A28" s="11" t="s">
        <v>50</v>
      </c>
      <c r="B28" s="12">
        <v>2000</v>
      </c>
      <c r="C28" s="12">
        <f>IF($B$18="M", B28*1.03, B28*1.1)</f>
        <v>2060</v>
      </c>
      <c r="D28" s="12">
        <f t="shared" ref="D28:G28" si="3">IF($B$18="M", C28*1.03, C28*1.1)</f>
        <v>2121.8000000000002</v>
      </c>
      <c r="E28" s="12">
        <f t="shared" si="3"/>
        <v>2185.4540000000002</v>
      </c>
      <c r="F28" s="12">
        <f t="shared" si="3"/>
        <v>2251.0176200000001</v>
      </c>
      <c r="G28" s="12">
        <f t="shared" si="3"/>
        <v>2318.5481486000003</v>
      </c>
    </row>
    <row r="29" spans="1:7" x14ac:dyDescent="0.2">
      <c r="A29" s="11" t="s">
        <v>54</v>
      </c>
      <c r="B29" s="5" t="s">
        <v>1</v>
      </c>
      <c r="C29" s="12">
        <f>IF($B$20="W", 0, B14)</f>
        <v>0</v>
      </c>
      <c r="D29" s="12">
        <f>IF($B$20="W", $B$13, $B$14)</f>
        <v>3000</v>
      </c>
      <c r="E29" s="12">
        <f t="shared" ref="E29:G29" si="4">IF($B$20="W", $B$13, $B$14)</f>
        <v>3000</v>
      </c>
      <c r="F29" s="12">
        <f t="shared" si="4"/>
        <v>3000</v>
      </c>
      <c r="G29" s="12">
        <f t="shared" si="4"/>
        <v>3000</v>
      </c>
    </row>
    <row r="30" spans="1:7" x14ac:dyDescent="0.2">
      <c r="A30" s="11" t="s">
        <v>52</v>
      </c>
      <c r="B30" s="5" t="s">
        <v>1</v>
      </c>
      <c r="C30" s="8">
        <f>(MIN(C28, C29))*($C$7)*(B10)</f>
        <v>0</v>
      </c>
      <c r="D30" s="8">
        <f>IF($B$20="W", (MIN(D28, D29))*(D7*$B$9), (MIN(D28, D29))*(D7*$B$10))</f>
        <v>1313742175.2</v>
      </c>
      <c r="E30" s="8">
        <f t="shared" ref="E30:G30" si="5">IF($B$20="W", (MIN(E28, E29))*(E7*$B$9), (MIN(E28, E29))*(E7*$B$10))</f>
        <v>1420812162.4788001</v>
      </c>
      <c r="F30" s="8">
        <f t="shared" si="5"/>
        <v>1536608353.7208221</v>
      </c>
      <c r="G30" s="8">
        <f t="shared" si="5"/>
        <v>1661841934.5490694</v>
      </c>
    </row>
    <row r="31" spans="1:7" x14ac:dyDescent="0.2">
      <c r="A31" s="11" t="s">
        <v>53</v>
      </c>
      <c r="B31" s="5" t="s">
        <v>1</v>
      </c>
      <c r="C31" s="5" t="s">
        <v>1</v>
      </c>
      <c r="D31" s="8">
        <f>IF($B$20="W", D4*D8, 0)</f>
        <v>16400000</v>
      </c>
      <c r="E31" s="8">
        <f t="shared" ref="E31:G31" si="6">IF($B$20="W", E4*E8, 0)</f>
        <v>16800000</v>
      </c>
      <c r="F31" s="8">
        <f t="shared" si="6"/>
        <v>17200000</v>
      </c>
      <c r="G31" s="8">
        <f t="shared" si="6"/>
        <v>17600000</v>
      </c>
    </row>
    <row r="32" spans="1:7" x14ac:dyDescent="0.2">
      <c r="A32" s="11" t="s">
        <v>49</v>
      </c>
      <c r="B32" s="5" t="s">
        <v>1</v>
      </c>
      <c r="C32" s="5" t="s">
        <v>1</v>
      </c>
      <c r="D32" s="8">
        <f>(D5*$B$9*$B$13)</f>
        <v>505440000</v>
      </c>
      <c r="E32" s="8">
        <f t="shared" ref="E32:G32" si="7">(E5*$B$9*$B$13)</f>
        <v>520603200.00000006</v>
      </c>
      <c r="F32" s="8">
        <f t="shared" si="7"/>
        <v>536221296.00000012</v>
      </c>
      <c r="G32" s="8">
        <f t="shared" si="7"/>
        <v>552307934.88000011</v>
      </c>
    </row>
    <row r="33" spans="1:7" x14ac:dyDescent="0.2">
      <c r="A33" s="11" t="s">
        <v>48</v>
      </c>
      <c r="B33" s="5" t="s">
        <v>1</v>
      </c>
      <c r="C33" s="8">
        <f>IF($B$19="L", (C6*$B$10*$B$14)*0.95, (C6*$B$10*$B$14)*1)</f>
        <v>727269840</v>
      </c>
      <c r="D33" s="8">
        <f t="shared" ref="D33:G33" si="8">IF($B$19="L", (D6*$B$10*$B$14)*0.95, (D6*$B$10*$B$14)*1)</f>
        <v>749087935.20000005</v>
      </c>
      <c r="E33" s="8">
        <f t="shared" si="8"/>
        <v>771560573.25599992</v>
      </c>
      <c r="F33" s="8">
        <f t="shared" si="8"/>
        <v>794707390.45368004</v>
      </c>
      <c r="G33" s="8">
        <f t="shared" si="8"/>
        <v>818548612.16729045</v>
      </c>
    </row>
    <row r="34" spans="1:7" x14ac:dyDescent="0.2">
      <c r="A34" s="4" t="s">
        <v>51</v>
      </c>
      <c r="B34" s="8">
        <v>150000000</v>
      </c>
      <c r="C34" s="8">
        <f>IF(B20="W", 0, B34*1.03)</f>
        <v>0</v>
      </c>
      <c r="D34" s="8">
        <f>IF(B20="W", B34*1.06, C34*1.03)</f>
        <v>159000000</v>
      </c>
      <c r="E34" s="8">
        <f>D34*1.03</f>
        <v>163770000</v>
      </c>
      <c r="F34" s="8">
        <f t="shared" ref="F34:G34" si="9">E34*1.03</f>
        <v>168683100</v>
      </c>
      <c r="G34" s="8">
        <f t="shared" si="9"/>
        <v>173743593</v>
      </c>
    </row>
    <row r="36" spans="1:7" ht="15.75" thickBot="1" x14ac:dyDescent="0.3">
      <c r="A36" s="2" t="s">
        <v>7</v>
      </c>
      <c r="B36" s="3">
        <v>2014</v>
      </c>
      <c r="C36" s="3">
        <v>2015</v>
      </c>
      <c r="D36" s="3">
        <v>2016</v>
      </c>
      <c r="E36" s="3">
        <v>2017</v>
      </c>
      <c r="F36" s="3">
        <v>2018</v>
      </c>
      <c r="G36" s="3">
        <v>2019</v>
      </c>
    </row>
    <row r="37" spans="1:7" x14ac:dyDescent="0.2">
      <c r="A37" s="4" t="s">
        <v>25</v>
      </c>
      <c r="B37" s="5" t="s">
        <v>1</v>
      </c>
      <c r="C37" s="8">
        <f>IF(B20="W", B48-(B11-F51), B48-B12)</f>
        <v>200000000</v>
      </c>
      <c r="D37" s="8">
        <f>C48</f>
        <v>76709055.669863462</v>
      </c>
      <c r="E37" s="8">
        <f t="shared" ref="E37:G37" si="10">D48</f>
        <v>478093366.51356244</v>
      </c>
      <c r="F37" s="8">
        <f t="shared" si="10"/>
        <v>944254899.94357347</v>
      </c>
      <c r="G37" s="8">
        <f t="shared" si="10"/>
        <v>1473952399.7187738</v>
      </c>
    </row>
    <row r="38" spans="1:7" x14ac:dyDescent="0.2">
      <c r="A38" s="4" t="s">
        <v>31</v>
      </c>
      <c r="B38" s="5" t="s">
        <v>1</v>
      </c>
      <c r="C38" s="8">
        <f>IF(B20="W", 0, C30)</f>
        <v>0</v>
      </c>
      <c r="D38" s="8">
        <f>D30</f>
        <v>1313742175.2</v>
      </c>
      <c r="E38" s="8">
        <f t="shared" ref="E38:G38" si="11">E30</f>
        <v>1420812162.4788001</v>
      </c>
      <c r="F38" s="8">
        <f t="shared" si="11"/>
        <v>1536608353.7208221</v>
      </c>
      <c r="G38" s="8">
        <f t="shared" si="11"/>
        <v>1661841934.5490694</v>
      </c>
    </row>
    <row r="39" spans="1:7" x14ac:dyDescent="0.2">
      <c r="A39" s="4" t="s">
        <v>32</v>
      </c>
      <c r="B39" s="5" t="s">
        <v>1</v>
      </c>
      <c r="C39" s="5" t="s">
        <v>1</v>
      </c>
      <c r="D39" s="8">
        <f>IF($B$20="W", D31, 0)</f>
        <v>16400000</v>
      </c>
      <c r="E39" s="8">
        <f t="shared" ref="E39:G39" si="12">IF($B$20="W", E31, 0)</f>
        <v>16800000</v>
      </c>
      <c r="F39" s="8">
        <f t="shared" si="12"/>
        <v>17200000</v>
      </c>
      <c r="G39" s="8">
        <f t="shared" si="12"/>
        <v>17600000</v>
      </c>
    </row>
    <row r="40" spans="1:7" x14ac:dyDescent="0.2">
      <c r="A40" s="4" t="s">
        <v>30</v>
      </c>
      <c r="B40" s="5" t="s">
        <v>1</v>
      </c>
      <c r="C40" s="8">
        <f>SUM(C38, C39)</f>
        <v>0</v>
      </c>
      <c r="D40" s="8">
        <f t="shared" ref="D40:G40" si="13">SUM(D38, D39)</f>
        <v>1330142175.2</v>
      </c>
      <c r="E40" s="8">
        <f t="shared" si="13"/>
        <v>1437612162.4788001</v>
      </c>
      <c r="F40" s="8">
        <f t="shared" si="13"/>
        <v>1553808353.7208221</v>
      </c>
      <c r="G40" s="8">
        <f t="shared" si="13"/>
        <v>1679441934.5490694</v>
      </c>
    </row>
    <row r="41" spans="1:7" x14ac:dyDescent="0.2">
      <c r="A41" s="4" t="s">
        <v>33</v>
      </c>
      <c r="B41" s="5" t="s">
        <v>1</v>
      </c>
      <c r="C41" s="8">
        <f>IF(B20="W", 0, C33)</f>
        <v>0</v>
      </c>
      <c r="D41" s="8">
        <f>IF($B$20="W", D32, D33)</f>
        <v>505440000</v>
      </c>
      <c r="E41" s="8">
        <f t="shared" ref="E41:G41" si="14">IF($B$20="W", E32, E33)</f>
        <v>520603200.00000006</v>
      </c>
      <c r="F41" s="8">
        <f t="shared" si="14"/>
        <v>536221296.00000012</v>
      </c>
      <c r="G41" s="8">
        <f t="shared" si="14"/>
        <v>552307934.88000011</v>
      </c>
    </row>
    <row r="42" spans="1:7" x14ac:dyDescent="0.2">
      <c r="A42" s="4" t="s">
        <v>8</v>
      </c>
      <c r="B42" s="5" t="s">
        <v>1</v>
      </c>
      <c r="C42" s="8">
        <f>C40-C41</f>
        <v>0</v>
      </c>
      <c r="D42" s="8">
        <f t="shared" ref="D42:G42" si="15">D40-D41</f>
        <v>824702175.20000005</v>
      </c>
      <c r="E42" s="8">
        <f t="shared" si="15"/>
        <v>917008962.47880006</v>
      </c>
      <c r="F42" s="8">
        <f t="shared" si="15"/>
        <v>1017587057.720822</v>
      </c>
      <c r="G42" s="8">
        <f t="shared" si="15"/>
        <v>1127133999.6690693</v>
      </c>
    </row>
    <row r="43" spans="1:7" x14ac:dyDescent="0.2">
      <c r="A43" s="4" t="s">
        <v>39</v>
      </c>
      <c r="B43" s="5" t="s">
        <v>1</v>
      </c>
      <c r="C43" s="8">
        <f>IF($B$20="W", -($F$54), 0)</f>
        <v>123290944.33013654</v>
      </c>
      <c r="D43" s="8">
        <f t="shared" ref="D43:G43" si="16">IF($B$20="W", -($F$54), 0)</f>
        <v>123290944.33013654</v>
      </c>
      <c r="E43" s="8">
        <f t="shared" si="16"/>
        <v>123290944.33013654</v>
      </c>
      <c r="F43" s="8">
        <f t="shared" si="16"/>
        <v>123290944.33013654</v>
      </c>
      <c r="G43" s="8">
        <f t="shared" si="16"/>
        <v>123290944.33013654</v>
      </c>
    </row>
    <row r="44" spans="1:7" x14ac:dyDescent="0.2">
      <c r="A44" s="10" t="s">
        <v>40</v>
      </c>
      <c r="B44" s="5" t="s">
        <v>1</v>
      </c>
      <c r="C44" s="8">
        <f>C34</f>
        <v>0</v>
      </c>
      <c r="D44" s="8">
        <f t="shared" ref="D44:G44" si="17">D34</f>
        <v>159000000</v>
      </c>
      <c r="E44" s="8">
        <f t="shared" si="17"/>
        <v>163770000</v>
      </c>
      <c r="F44" s="8">
        <f t="shared" si="17"/>
        <v>168683100</v>
      </c>
      <c r="G44" s="8">
        <f t="shared" si="17"/>
        <v>173743593</v>
      </c>
    </row>
    <row r="45" spans="1:7" x14ac:dyDescent="0.2">
      <c r="A45" s="4" t="s">
        <v>9</v>
      </c>
      <c r="B45" s="5" t="s">
        <v>1</v>
      </c>
      <c r="C45" s="8">
        <f>C42-C43-C44</f>
        <v>-123290944.33013654</v>
      </c>
      <c r="D45" s="8">
        <f t="shared" ref="D45:G45" si="18">D42-D43-D44</f>
        <v>542411230.86986351</v>
      </c>
      <c r="E45" s="8">
        <f t="shared" si="18"/>
        <v>629948018.14866352</v>
      </c>
      <c r="F45" s="8">
        <f t="shared" si="18"/>
        <v>725613013.39068544</v>
      </c>
      <c r="G45" s="8">
        <f t="shared" si="18"/>
        <v>830099462.33893275</v>
      </c>
    </row>
    <row r="46" spans="1:7" x14ac:dyDescent="0.2">
      <c r="A46" s="4" t="s">
        <v>10</v>
      </c>
      <c r="B46" s="5" t="s">
        <v>1</v>
      </c>
      <c r="C46" s="8">
        <f>IF(C45&gt;0, C45*C15, 0)</f>
        <v>0</v>
      </c>
      <c r="D46" s="8">
        <f t="shared" ref="D46:G46" si="19">IF(D45&gt;0, D45*D15, 0)</f>
        <v>141026920.02616453</v>
      </c>
      <c r="E46" s="8">
        <f t="shared" si="19"/>
        <v>163786484.71865252</v>
      </c>
      <c r="F46" s="8">
        <f t="shared" si="19"/>
        <v>195915513.61548507</v>
      </c>
      <c r="G46" s="8">
        <f t="shared" si="19"/>
        <v>224126854.83151186</v>
      </c>
    </row>
    <row r="47" spans="1:7" x14ac:dyDescent="0.2">
      <c r="A47" s="4" t="s">
        <v>15</v>
      </c>
      <c r="B47" s="5" t="s">
        <v>1</v>
      </c>
      <c r="C47" s="8">
        <f>C45-C46</f>
        <v>-123290944.33013654</v>
      </c>
      <c r="D47" s="8">
        <f t="shared" ref="D47:G47" si="20">D45-D46</f>
        <v>401384310.84369898</v>
      </c>
      <c r="E47" s="8">
        <f t="shared" si="20"/>
        <v>466161533.43001103</v>
      </c>
      <c r="F47" s="8">
        <f t="shared" si="20"/>
        <v>529697499.77520037</v>
      </c>
      <c r="G47" s="8">
        <f t="shared" si="20"/>
        <v>605972607.5074209</v>
      </c>
    </row>
    <row r="48" spans="1:7" x14ac:dyDescent="0.2">
      <c r="A48" s="4" t="s">
        <v>46</v>
      </c>
      <c r="B48" s="8">
        <v>1200000000</v>
      </c>
      <c r="C48" s="8">
        <f>SUM(C37, C47)</f>
        <v>76709055.669863462</v>
      </c>
      <c r="D48" s="8">
        <f t="shared" ref="D48:G48" si="21">SUM(D37, D47)</f>
        <v>478093366.51356244</v>
      </c>
      <c r="E48" s="8">
        <f t="shared" si="21"/>
        <v>944254899.94357347</v>
      </c>
      <c r="F48" s="8">
        <f t="shared" si="21"/>
        <v>1473952399.7187738</v>
      </c>
      <c r="G48" s="8">
        <f t="shared" si="21"/>
        <v>2079925007.2261949</v>
      </c>
    </row>
    <row r="50" spans="1:6" ht="15.75" thickBot="1" x14ac:dyDescent="0.3">
      <c r="A50" s="13" t="s">
        <v>14</v>
      </c>
      <c r="D50" s="13" t="s">
        <v>45</v>
      </c>
    </row>
    <row r="51" spans="1:6" x14ac:dyDescent="0.2">
      <c r="A51" s="14" t="s">
        <v>34</v>
      </c>
      <c r="B51" s="15">
        <f>IF($B$20="W", -($B$11-$F$51), -($B$12))</f>
        <v>-1000000000</v>
      </c>
      <c r="D51" s="42" t="s">
        <v>41</v>
      </c>
      <c r="E51" s="43"/>
      <c r="F51" s="23">
        <v>1000000000</v>
      </c>
    </row>
    <row r="52" spans="1:6" x14ac:dyDescent="0.2">
      <c r="A52" s="16" t="s">
        <v>16</v>
      </c>
      <c r="B52" s="17">
        <f>C47</f>
        <v>-123290944.33013654</v>
      </c>
      <c r="D52" s="44" t="s">
        <v>42</v>
      </c>
      <c r="E52" s="45"/>
      <c r="F52" s="19">
        <v>10</v>
      </c>
    </row>
    <row r="53" spans="1:6" x14ac:dyDescent="0.2">
      <c r="A53" s="16" t="s">
        <v>35</v>
      </c>
      <c r="B53" s="17">
        <f>D47</f>
        <v>401384310.84369898</v>
      </c>
      <c r="D53" s="44" t="s">
        <v>43</v>
      </c>
      <c r="E53" s="45"/>
      <c r="F53" s="24">
        <v>0.04</v>
      </c>
    </row>
    <row r="54" spans="1:6" ht="15" thickBot="1" x14ac:dyDescent="0.25">
      <c r="A54" s="16" t="s">
        <v>36</v>
      </c>
      <c r="B54" s="17">
        <f>E47</f>
        <v>466161533.43001103</v>
      </c>
      <c r="D54" s="46" t="s">
        <v>44</v>
      </c>
      <c r="E54" s="47"/>
      <c r="F54" s="25">
        <f>PMT(F53,F52,F51)</f>
        <v>-123290944.33013654</v>
      </c>
    </row>
    <row r="55" spans="1:6" x14ac:dyDescent="0.2">
      <c r="A55" s="16" t="s">
        <v>37</v>
      </c>
      <c r="B55" s="17">
        <f>F47</f>
        <v>529697499.77520037</v>
      </c>
      <c r="D55" s="4"/>
    </row>
    <row r="56" spans="1:6" x14ac:dyDescent="0.2">
      <c r="A56" s="16" t="s">
        <v>38</v>
      </c>
      <c r="B56" s="17">
        <f>G47</f>
        <v>605972607.5074209</v>
      </c>
      <c r="D56" s="4"/>
    </row>
    <row r="57" spans="1:6" ht="15" thickBot="1" x14ac:dyDescent="0.25">
      <c r="A57" s="18" t="s">
        <v>13</v>
      </c>
      <c r="B57" s="27">
        <f>IRR(B51:B56)</f>
        <v>0.18177082718648352</v>
      </c>
      <c r="D57" s="4"/>
    </row>
  </sheetData>
  <scenarios current="7" sqref="G23:G25">
    <scenario name="M/L/W" locked="1" count="3" user="Bradley" comment="Created by Bradley on 11/29/2014">
      <inputCells r="B18" val="M"/>
      <inputCells r="B19" val="L"/>
      <inputCells r="B20" val="W"/>
    </scenario>
    <scenario name="M/H/W" locked="1" count="3" user="Bradley" comment="Created by Bradley on 11/29/2014">
      <inputCells r="B18" val="M"/>
      <inputCells r="B19" val="H"/>
      <inputCells r="B20" val="W"/>
    </scenario>
    <scenario name="S/L/W" locked="1" count="3" user="Bradley" comment="Created by Bradley on 11/29/2014">
      <inputCells r="B18" val="S"/>
      <inputCells r="B19" val="L"/>
      <inputCells r="B20" val="W"/>
    </scenario>
    <scenario name="S/H/W" locked="1" count="3" user="Bradley" comment="Created by Bradley on 11/29/2014">
      <inputCells r="B18" val="S"/>
      <inputCells r="B19" val="H"/>
      <inputCells r="B20" val="W"/>
    </scenario>
    <scenario name="M/L/F" locked="1" count="3" user="Bradley" comment="Created by Bradley on 11/29/2014">
      <inputCells r="B18" val="M"/>
      <inputCells r="B19" val="L"/>
      <inputCells r="B20" val="F"/>
    </scenario>
    <scenario name="M/H/F" locked="1" count="3" user="Bradley" comment="Created by Bradley on 11/29/2014">
      <inputCells r="B18" val="M"/>
      <inputCells r="B19" val="H"/>
      <inputCells r="B20" val="F"/>
    </scenario>
    <scenario name="S/L/F" locked="1" count="3" user="Bradley" comment="Created by Bradley on 11/29/2014">
      <inputCells r="B18" val="S"/>
      <inputCells r="B19" val="L"/>
      <inputCells r="B20" val="F"/>
    </scenario>
    <scenario name="S/H/F" locked="1" count="3" user="Bradley" comment="Created by Bradley on 11/29/2014">
      <inputCells r="B18" val="S"/>
      <inputCells r="B19" val="H"/>
      <inputCells r="B20" val="F"/>
    </scenario>
  </scenarios>
  <mergeCells count="5">
    <mergeCell ref="A1:G1"/>
    <mergeCell ref="D51:E51"/>
    <mergeCell ref="D52:E52"/>
    <mergeCell ref="D53:E53"/>
    <mergeCell ref="D54:E54"/>
  </mergeCells>
  <pageMargins left="0.7" right="0.7" top="0.75" bottom="0.75" header="0.3" footer="0.3"/>
  <pageSetup scale="5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Scenario Summary</vt:lpstr>
      <vt:lpstr>New England Energy Skeleton</vt:lpstr>
      <vt:lpstr>Scenario Summary 2</vt:lpstr>
      <vt:lpstr>New England Energy-Bank Loan</vt:lpstr>
      <vt:lpstr>Scenario Summary 3</vt:lpstr>
      <vt:lpstr>New England Energy-CH4 Futures</vt:lpstr>
      <vt:lpstr>'New England Energy Skeleton'!Print_Area</vt:lpstr>
      <vt:lpstr>'New England Energy-Bank Loan'!Print_Area</vt:lpstr>
      <vt:lpstr>'New England Energy-CH4 Futures'!Print_Area</vt:lpstr>
    </vt:vector>
  </TitlesOfParts>
  <Company>PC Home Help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Cook</dc:creator>
  <cp:lastModifiedBy>Bradley</cp:lastModifiedBy>
  <cp:lastPrinted>2013-07-11T13:14:00Z</cp:lastPrinted>
  <dcterms:created xsi:type="dcterms:W3CDTF">2010-08-10T17:08:18Z</dcterms:created>
  <dcterms:modified xsi:type="dcterms:W3CDTF">2016-03-15T21:35:34Z</dcterms:modified>
</cp:coreProperties>
</file>